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75" yWindow="0" windowWidth="18300" windowHeight="12870"/>
  </bookViews>
  <sheets>
    <sheet name="Parameters and Notes" sheetId="1" r:id="rId1"/>
    <sheet name="Grid coord &gt; Bearing &amp; Ell Dist" sheetId="2" r:id="rId2"/>
    <sheet name="Bearing &amp; Ell Dist &gt; Grid Coord" sheetId="3" r:id="rId3"/>
    <sheet name="Test Data" sheetId="4" r:id="rId4"/>
  </sheets>
  <definedNames>
    <definedName name="_xlnm.Print_Area" localSheetId="2">'Bearing &amp; Ell Dist &gt; Grid Coord'!$A$1:$F$71</definedName>
    <definedName name="_xlnm.Print_Area" localSheetId="1">'Grid coord &gt; Bearing &amp; Ell Dist'!$A$1:$F$58</definedName>
  </definedNames>
  <calcPr calcId="125725" iterate="1" iterateDelta="1E-10"/>
</workbook>
</file>

<file path=xl/calcChain.xml><?xml version="1.0" encoding="utf-8"?>
<calcChain xmlns="http://schemas.openxmlformats.org/spreadsheetml/2006/main">
  <c r="C17" i="2"/>
  <c r="C18" s="1"/>
  <c r="C16"/>
  <c r="C19" s="1"/>
  <c r="C22" s="1"/>
  <c r="D16"/>
  <c r="D19" s="1"/>
  <c r="D17"/>
  <c r="C15" i="3"/>
  <c r="C16"/>
  <c r="D15"/>
  <c r="C17"/>
  <c r="C18"/>
  <c r="B61"/>
  <c r="B69"/>
  <c r="B62"/>
  <c r="D1"/>
  <c r="C7" i="1"/>
  <c r="C8"/>
  <c r="D18" i="2"/>
  <c r="B51"/>
  <c r="B56"/>
  <c r="B52"/>
  <c r="D1"/>
  <c r="C24"/>
  <c r="D44" s="1"/>
  <c r="C6" i="1"/>
  <c r="C15"/>
  <c r="C32"/>
  <c r="C33"/>
  <c r="C12"/>
  <c r="C13"/>
  <c r="C9"/>
  <c r="C5"/>
  <c r="C16"/>
  <c r="C18"/>
  <c r="C19"/>
  <c r="C17"/>
  <c r="D43" i="3"/>
  <c r="D24"/>
  <c r="C10" i="1"/>
  <c r="D27" i="2"/>
  <c r="C21"/>
  <c r="C23"/>
  <c r="D38" s="1"/>
  <c r="C20"/>
  <c r="C11" i="1"/>
  <c r="C24"/>
  <c r="C23"/>
  <c r="C21"/>
  <c r="B24" i="3"/>
  <c r="B25" s="1"/>
  <c r="B26" s="1"/>
  <c r="B27" s="1"/>
  <c r="D25" s="1"/>
  <c r="C22" i="1"/>
  <c r="B28" i="2" l="1"/>
  <c r="B29" s="1"/>
  <c r="B30" s="1"/>
  <c r="B31" s="1"/>
  <c r="D28" s="1"/>
  <c r="B39"/>
  <c r="B40" s="1"/>
  <c r="D27" i="3"/>
  <c r="D26"/>
  <c r="D30" i="2" l="1"/>
  <c r="D29"/>
  <c r="D28" i="3"/>
  <c r="B42" i="2"/>
  <c r="B41"/>
  <c r="B11" l="1"/>
  <c r="D31" i="3"/>
  <c r="B31"/>
  <c r="D30"/>
  <c r="D29"/>
  <c r="B30"/>
  <c r="B32" s="1"/>
  <c r="B8" i="2"/>
  <c r="D31"/>
  <c r="B35" i="3" l="1"/>
  <c r="B36"/>
  <c r="D33" i="2"/>
  <c r="D32"/>
  <c r="B45" s="1"/>
  <c r="D34"/>
  <c r="B46" s="1"/>
  <c r="C11"/>
  <c r="D11" s="1"/>
  <c r="B37" i="3" l="1"/>
  <c r="B38"/>
  <c r="D45" i="2"/>
  <c r="D46" s="1"/>
  <c r="D39"/>
  <c r="D40" s="1"/>
  <c r="D35" i="3"/>
  <c r="D36"/>
  <c r="D38"/>
  <c r="D40"/>
  <c r="D39"/>
  <c r="B55" s="1"/>
  <c r="D37"/>
  <c r="B47" i="2"/>
  <c r="B15" l="1"/>
  <c r="B48"/>
  <c r="B6" s="1"/>
  <c r="D47"/>
  <c r="B14" s="1"/>
  <c r="D53"/>
  <c r="D54" s="1"/>
  <c r="D55" s="1"/>
  <c r="B43" i="3"/>
  <c r="B44" s="1"/>
  <c r="B45" s="1"/>
  <c r="B46" s="1"/>
  <c r="D44" s="1"/>
  <c r="D41" i="2"/>
  <c r="B13" s="1"/>
  <c r="D50"/>
  <c r="D55" i="3"/>
  <c r="D45" l="1"/>
  <c r="D47" s="1"/>
  <c r="D46"/>
  <c r="D51" i="2"/>
  <c r="D35"/>
  <c r="C10"/>
  <c r="B10"/>
  <c r="D10" s="1"/>
  <c r="B9" l="1"/>
  <c r="D49" i="3"/>
  <c r="D50"/>
  <c r="B50" s="1"/>
  <c r="D48"/>
  <c r="B49" s="1"/>
  <c r="D51"/>
  <c r="B53" i="2"/>
  <c r="B57"/>
  <c r="B58" s="1"/>
  <c r="D9" l="1"/>
  <c r="C9"/>
  <c r="B7"/>
  <c r="B54"/>
  <c r="D56" i="3"/>
  <c r="D57" s="1"/>
  <c r="D58" s="1"/>
  <c r="B13" s="1"/>
  <c r="B56"/>
  <c r="B57" s="1"/>
  <c r="B51"/>
  <c r="B70" l="1"/>
  <c r="B52"/>
  <c r="B14"/>
  <c r="B65"/>
  <c r="B66" s="1"/>
  <c r="B67" s="1"/>
  <c r="B68" s="1"/>
  <c r="B58"/>
  <c r="B12" s="1"/>
  <c r="C19"/>
  <c r="C20" s="1"/>
  <c r="C21" s="1"/>
  <c r="B10" l="1"/>
  <c r="C10"/>
  <c r="D10" s="1"/>
  <c r="B8"/>
  <c r="C8"/>
  <c r="D8" s="1"/>
  <c r="D65"/>
  <c r="B9"/>
  <c r="B71" s="1"/>
  <c r="D66"/>
  <c r="C5" l="1"/>
  <c r="D67"/>
  <c r="D5"/>
  <c r="D68"/>
</calcChain>
</file>

<file path=xl/comments1.xml><?xml version="1.0" encoding="utf-8"?>
<comments xmlns="http://schemas.openxmlformats.org/spreadsheetml/2006/main">
  <authors>
    <author>A satisfied Microsoft Office user</author>
  </authors>
  <commentList>
    <comment ref="A27" authorId="0">
      <text>
        <r>
          <rPr>
            <sz val="10"/>
            <color indexed="81"/>
            <rFont val="Tahoma"/>
          </rPr>
          <t>Any error in the approximate latitude will affect the radius of curvature, which will in turn affect the line scale factor and ellipsoidal distance.
The formulae for approximate latitude shown here will give a latitude within about 2 minutes of arc, which should give an ellipsoidal distance within about 0.5 ppm of the true value.</t>
        </r>
      </text>
    </comment>
  </commentList>
</comments>
</file>

<file path=xl/comments2.xml><?xml version="1.0" encoding="utf-8"?>
<comments xmlns="http://schemas.openxmlformats.org/spreadsheetml/2006/main">
  <authors>
    <author>A satisfied Microsoft Office user</author>
  </authors>
  <commentList>
    <comment ref="A23" authorId="0">
      <text>
        <r>
          <rPr>
            <sz val="10"/>
            <color indexed="81"/>
            <rFont val="Tahoma"/>
          </rPr>
          <t>Any error in the approximate latitude will affect the radius of curvature, which will in turn affect subsequent calculations.</t>
        </r>
      </text>
    </comment>
    <comment ref="A42" authorId="0">
      <text>
        <r>
          <rPr>
            <sz val="10"/>
            <color indexed="81"/>
            <rFont val="Tahoma"/>
          </rPr>
          <t>Any error in the approximate latitude will affect the radius of curvature, which will in turn affect the line scale factor and ellipsoidal distance.
The formulae for approximate latitude shown here will give a latitude within about 2 minutes of arc, which should give an ellipsoidal distance within about 0.5 ppm of the true value.</t>
        </r>
      </text>
    </comment>
  </commentList>
</comments>
</file>

<file path=xl/sharedStrings.xml><?xml version="1.0" encoding="utf-8"?>
<sst xmlns="http://schemas.openxmlformats.org/spreadsheetml/2006/main" count="269" uniqueCount="174">
  <si>
    <t>Ellipsoid definition</t>
  </si>
  <si>
    <t>Semi major axis (a) (m)</t>
  </si>
  <si>
    <t>Flattening (f)</t>
  </si>
  <si>
    <t>Semi-minor axis (b) (m)</t>
  </si>
  <si>
    <r>
      <t>Eccentricity (e</t>
    </r>
    <r>
      <rPr>
        <vertAlign val="superscript"/>
        <sz val="12"/>
        <rFont val="Arial"/>
        <family val="2"/>
      </rPr>
      <t>2</t>
    </r>
    <r>
      <rPr>
        <sz val="12"/>
        <rFont val="Arial"/>
        <family val="2"/>
      </rPr>
      <t>)</t>
    </r>
  </si>
  <si>
    <t>e</t>
  </si>
  <si>
    <r>
      <t>e</t>
    </r>
    <r>
      <rPr>
        <vertAlign val="superscript"/>
        <sz val="12"/>
        <rFont val="Arial"/>
        <family val="2"/>
      </rPr>
      <t>4</t>
    </r>
  </si>
  <si>
    <t xml:space="preserve"> </t>
  </si>
  <si>
    <r>
      <t>e</t>
    </r>
    <r>
      <rPr>
        <vertAlign val="superscript"/>
        <sz val="12"/>
        <rFont val="Arial"/>
        <family val="2"/>
      </rPr>
      <t>6</t>
    </r>
  </si>
  <si>
    <r>
      <t>Second eccentricity (e'</t>
    </r>
    <r>
      <rPr>
        <vertAlign val="superscript"/>
        <sz val="12"/>
        <rFont val="Arial"/>
        <family val="2"/>
      </rPr>
      <t>2</t>
    </r>
    <r>
      <rPr>
        <sz val="12"/>
        <rFont val="Arial"/>
        <family val="2"/>
      </rPr>
      <t>)</t>
    </r>
  </si>
  <si>
    <t>e'</t>
  </si>
  <si>
    <t>n</t>
  </si>
  <si>
    <t>n**2</t>
  </si>
  <si>
    <t>n**3</t>
  </si>
  <si>
    <t>n**4</t>
  </si>
  <si>
    <t>G</t>
  </si>
  <si>
    <t>TM definition</t>
  </si>
  <si>
    <t>False easting (m)</t>
  </si>
  <si>
    <t>False northing (m)</t>
  </si>
  <si>
    <t>Zone width (degrees)</t>
  </si>
  <si>
    <t>Longitude of the central meridian of zone 1(degrees)</t>
  </si>
  <si>
    <t>Longitude of western edge of zone zero</t>
  </si>
  <si>
    <t>Central meridian of zone zero</t>
  </si>
  <si>
    <t>Grid Bearing and Ellipsoidal Distance from Grid Coordinates</t>
  </si>
  <si>
    <t>East (E)</t>
  </si>
  <si>
    <t>North (N)</t>
  </si>
  <si>
    <t>KEY</t>
  </si>
  <si>
    <t>User input</t>
  </si>
  <si>
    <t>Result</t>
  </si>
  <si>
    <t>Radii of curvature</t>
  </si>
  <si>
    <t>Approximate latitude</t>
  </si>
  <si>
    <t>Arc-to-Chord</t>
  </si>
  <si>
    <t>Plane Distance</t>
  </si>
  <si>
    <t>L</t>
  </si>
  <si>
    <t>Ellipsoidal Distance</t>
  </si>
  <si>
    <t>K (1st part)</t>
  </si>
  <si>
    <t>K (2nd part)</t>
  </si>
  <si>
    <t>K (line scale factor)</t>
  </si>
  <si>
    <t>Ellip. dist. (s)</t>
  </si>
  <si>
    <t>Grid Bearing</t>
  </si>
  <si>
    <t xml:space="preserve">Grid Coordinates from Grid Bearing and Ellipsoidal Distance </t>
  </si>
  <si>
    <t>Approximate latitude for site 1</t>
  </si>
  <si>
    <t>Radii of curvature for site 1</t>
  </si>
  <si>
    <t>Approximate Point Scale factor</t>
  </si>
  <si>
    <t>Approximate coordinates</t>
  </si>
  <si>
    <t>Approximate mean latitude</t>
  </si>
  <si>
    <t>Radii of curvature for mean lat.</t>
  </si>
  <si>
    <t>Plane dist. (L)</t>
  </si>
  <si>
    <t>Reverse Grid Bearing</t>
  </si>
  <si>
    <t>Final Coordinates</t>
  </si>
  <si>
    <t>From (1)</t>
  </si>
  <si>
    <t>To (2)</t>
  </si>
  <si>
    <r>
      <t>Grid Bearing (</t>
    </r>
    <r>
      <rPr>
        <b/>
        <sz val="10"/>
        <rFont val="Symbol"/>
        <family val="1"/>
        <charset val="2"/>
      </rPr>
      <t>b</t>
    </r>
    <r>
      <rPr>
        <b/>
        <sz val="10"/>
        <rFont val="Arial"/>
      </rPr>
      <t>1)</t>
    </r>
  </si>
  <si>
    <r>
      <t>Central Scale factor (K</t>
    </r>
    <r>
      <rPr>
        <vertAlign val="subscript"/>
        <sz val="8"/>
        <rFont val="Arial"/>
        <family val="2"/>
      </rPr>
      <t>0</t>
    </r>
    <r>
      <rPr>
        <sz val="8"/>
        <rFont val="Arial"/>
        <family val="2"/>
      </rPr>
      <t>)</t>
    </r>
  </si>
  <si>
    <t>Plane Distance (L)</t>
  </si>
  <si>
    <t>SGC</t>
  </si>
  <si>
    <t>Station</t>
  </si>
  <si>
    <r>
      <t>From</t>
    </r>
    <r>
      <rPr>
        <sz val="12"/>
        <rFont val="Arial"/>
      </rPr>
      <t xml:space="preserve"> (1)</t>
    </r>
  </si>
  <si>
    <r>
      <t>To</t>
    </r>
    <r>
      <rPr>
        <sz val="12"/>
        <rFont val="Arial"/>
      </rPr>
      <t xml:space="preserve"> (2)</t>
    </r>
  </si>
  <si>
    <r>
      <t>Plane Distance</t>
    </r>
    <r>
      <rPr>
        <sz val="12"/>
        <rFont val="Arial"/>
        <family val="2"/>
      </rPr>
      <t xml:space="preserve"> (L)</t>
    </r>
  </si>
  <si>
    <r>
      <t>Grid Bearing</t>
    </r>
    <r>
      <rPr>
        <sz val="12"/>
        <rFont val="Arial"/>
      </rPr>
      <t xml:space="preserve"> (</t>
    </r>
    <r>
      <rPr>
        <sz val="12"/>
        <rFont val="Symbol"/>
        <family val="1"/>
        <charset val="2"/>
      </rPr>
      <t>b</t>
    </r>
    <r>
      <rPr>
        <vertAlign val="subscript"/>
        <sz val="12"/>
        <rFont val="Arial"/>
        <family val="2"/>
      </rPr>
      <t>1</t>
    </r>
    <r>
      <rPr>
        <sz val="12"/>
        <rFont val="Arial"/>
        <family val="2"/>
      </rPr>
      <t>)</t>
    </r>
  </si>
  <si>
    <r>
      <t>Arc to Chord correction</t>
    </r>
    <r>
      <rPr>
        <sz val="12"/>
        <rFont val="Symbol"/>
        <family val="1"/>
        <charset val="2"/>
      </rPr>
      <t xml:space="preserve"> (d</t>
    </r>
    <r>
      <rPr>
        <vertAlign val="subscript"/>
        <sz val="12"/>
        <rFont val="Arial"/>
        <family val="2"/>
      </rPr>
      <t>1</t>
    </r>
    <r>
      <rPr>
        <sz val="12"/>
        <rFont val="Arial"/>
        <family val="2"/>
      </rPr>
      <t xml:space="preserve">) </t>
    </r>
  </si>
  <si>
    <r>
      <t>Arc to Chord correction</t>
    </r>
    <r>
      <rPr>
        <sz val="12"/>
        <rFont val="Arial"/>
        <family val="2"/>
      </rPr>
      <t xml:space="preserve"> (</t>
    </r>
    <r>
      <rPr>
        <sz val="12"/>
        <rFont val="Symbol"/>
        <family val="1"/>
        <charset val="2"/>
      </rPr>
      <t>d</t>
    </r>
    <r>
      <rPr>
        <vertAlign val="subscript"/>
        <sz val="12"/>
        <rFont val="Arial"/>
        <family val="2"/>
      </rPr>
      <t>2</t>
    </r>
    <r>
      <rPr>
        <sz val="12"/>
        <rFont val="Arial"/>
        <family val="2"/>
      </rPr>
      <t>)</t>
    </r>
  </si>
  <si>
    <r>
      <t>Line scale factor</t>
    </r>
    <r>
      <rPr>
        <sz val="12"/>
        <rFont val="Arial"/>
      </rPr>
      <t xml:space="preserve"> (K)</t>
    </r>
  </si>
  <si>
    <r>
      <t>N</t>
    </r>
    <r>
      <rPr>
        <vertAlign val="subscript"/>
        <sz val="12"/>
        <color indexed="8"/>
        <rFont val="Arial"/>
        <family val="2"/>
      </rPr>
      <t>1</t>
    </r>
    <r>
      <rPr>
        <sz val="12"/>
        <color indexed="8"/>
        <rFont val="Arial"/>
        <family val="2"/>
      </rPr>
      <t>'</t>
    </r>
  </si>
  <si>
    <r>
      <t>E</t>
    </r>
    <r>
      <rPr>
        <vertAlign val="subscript"/>
        <sz val="12"/>
        <color indexed="8"/>
        <rFont val="Arial"/>
        <family val="2"/>
      </rPr>
      <t>1</t>
    </r>
    <r>
      <rPr>
        <sz val="12"/>
        <color indexed="8"/>
        <rFont val="Arial"/>
        <family val="2"/>
      </rPr>
      <t>'</t>
    </r>
  </si>
  <si>
    <r>
      <t>N</t>
    </r>
    <r>
      <rPr>
        <vertAlign val="subscript"/>
        <sz val="12"/>
        <rFont val="Arial"/>
        <family val="2"/>
      </rPr>
      <t>2</t>
    </r>
    <r>
      <rPr>
        <sz val="12"/>
        <rFont val="Arial"/>
      </rPr>
      <t>'</t>
    </r>
  </si>
  <si>
    <r>
      <t>E</t>
    </r>
    <r>
      <rPr>
        <vertAlign val="subscript"/>
        <sz val="12"/>
        <rFont val="Arial"/>
        <family val="2"/>
      </rPr>
      <t>2</t>
    </r>
    <r>
      <rPr>
        <sz val="12"/>
        <rFont val="Arial"/>
      </rPr>
      <t>'</t>
    </r>
  </si>
  <si>
    <r>
      <t>N</t>
    </r>
    <r>
      <rPr>
        <vertAlign val="subscript"/>
        <sz val="12"/>
        <rFont val="Arial"/>
      </rPr>
      <t xml:space="preserve">2 </t>
    </r>
    <r>
      <rPr>
        <sz val="12"/>
        <rFont val="Arial"/>
      </rPr>
      <t>-</t>
    </r>
    <r>
      <rPr>
        <vertAlign val="subscript"/>
        <sz val="12"/>
        <rFont val="Arial"/>
      </rPr>
      <t xml:space="preserve"> </t>
    </r>
    <r>
      <rPr>
        <sz val="12"/>
        <rFont val="Arial"/>
      </rPr>
      <t>N</t>
    </r>
    <r>
      <rPr>
        <vertAlign val="subscript"/>
        <sz val="12"/>
        <rFont val="Arial"/>
      </rPr>
      <t>1</t>
    </r>
  </si>
  <si>
    <r>
      <t>E</t>
    </r>
    <r>
      <rPr>
        <vertAlign val="subscript"/>
        <sz val="12"/>
        <rFont val="Arial"/>
        <family val="2"/>
      </rPr>
      <t>2</t>
    </r>
    <r>
      <rPr>
        <sz val="12"/>
        <rFont val="Arial"/>
      </rPr>
      <t>'- E</t>
    </r>
    <r>
      <rPr>
        <vertAlign val="subscript"/>
        <sz val="12"/>
        <rFont val="Arial"/>
        <family val="2"/>
      </rPr>
      <t>1</t>
    </r>
    <r>
      <rPr>
        <sz val="12"/>
        <rFont val="Arial"/>
      </rPr>
      <t>'</t>
    </r>
  </si>
  <si>
    <r>
      <t>N</t>
    </r>
    <r>
      <rPr>
        <vertAlign val="subscript"/>
        <sz val="12"/>
        <rFont val="Arial"/>
      </rPr>
      <t>m</t>
    </r>
    <r>
      <rPr>
        <sz val="12"/>
        <rFont val="Arial"/>
      </rPr>
      <t>'</t>
    </r>
  </si>
  <si>
    <r>
      <t>E</t>
    </r>
    <r>
      <rPr>
        <vertAlign val="subscript"/>
        <sz val="12"/>
        <rFont val="Arial"/>
        <family val="2"/>
      </rPr>
      <t>1</t>
    </r>
    <r>
      <rPr>
        <sz val="12"/>
        <rFont val="Arial"/>
      </rPr>
      <t>'</t>
    </r>
    <r>
      <rPr>
        <vertAlign val="superscript"/>
        <sz val="12"/>
        <rFont val="Arial"/>
        <family val="2"/>
      </rPr>
      <t>2</t>
    </r>
  </si>
  <si>
    <r>
      <t>E</t>
    </r>
    <r>
      <rPr>
        <vertAlign val="subscript"/>
        <sz val="12"/>
        <rFont val="Arial"/>
        <family val="2"/>
      </rPr>
      <t>2</t>
    </r>
    <r>
      <rPr>
        <sz val="12"/>
        <rFont val="Arial"/>
      </rPr>
      <t>'</t>
    </r>
    <r>
      <rPr>
        <vertAlign val="superscript"/>
        <sz val="12"/>
        <rFont val="Arial"/>
        <family val="2"/>
      </rPr>
      <t>2</t>
    </r>
  </si>
  <si>
    <r>
      <t>E</t>
    </r>
    <r>
      <rPr>
        <vertAlign val="subscript"/>
        <sz val="12"/>
        <rFont val="Arial"/>
        <family val="2"/>
      </rPr>
      <t>1</t>
    </r>
    <r>
      <rPr>
        <sz val="12"/>
        <rFont val="Arial"/>
      </rPr>
      <t>' E</t>
    </r>
    <r>
      <rPr>
        <vertAlign val="subscript"/>
        <sz val="12"/>
        <rFont val="Arial"/>
        <family val="2"/>
      </rPr>
      <t>2</t>
    </r>
    <r>
      <rPr>
        <sz val="12"/>
        <rFont val="Arial"/>
      </rPr>
      <t>'</t>
    </r>
  </si>
  <si>
    <r>
      <t>E</t>
    </r>
    <r>
      <rPr>
        <vertAlign val="subscript"/>
        <sz val="12"/>
        <rFont val="Arial"/>
        <family val="2"/>
      </rPr>
      <t>1</t>
    </r>
    <r>
      <rPr>
        <sz val="12"/>
        <rFont val="Arial"/>
      </rPr>
      <t>'</t>
    </r>
    <r>
      <rPr>
        <vertAlign val="superscript"/>
        <sz val="12"/>
        <rFont val="Arial"/>
        <family val="2"/>
      </rPr>
      <t>2</t>
    </r>
    <r>
      <rPr>
        <sz val="12"/>
        <rFont val="Arial"/>
      </rPr>
      <t>+E</t>
    </r>
    <r>
      <rPr>
        <vertAlign val="subscript"/>
        <sz val="12"/>
        <rFont val="Arial"/>
        <family val="2"/>
      </rPr>
      <t>1</t>
    </r>
    <r>
      <rPr>
        <sz val="12"/>
        <rFont val="Arial"/>
      </rPr>
      <t>'E</t>
    </r>
    <r>
      <rPr>
        <vertAlign val="subscript"/>
        <sz val="12"/>
        <rFont val="Arial"/>
        <family val="2"/>
      </rPr>
      <t>2</t>
    </r>
    <r>
      <rPr>
        <sz val="12"/>
        <rFont val="Arial"/>
      </rPr>
      <t>'+E</t>
    </r>
    <r>
      <rPr>
        <vertAlign val="subscript"/>
        <sz val="12"/>
        <rFont val="Arial"/>
        <family val="2"/>
      </rPr>
      <t>2</t>
    </r>
    <r>
      <rPr>
        <sz val="12"/>
        <rFont val="Arial"/>
      </rPr>
      <t>'</t>
    </r>
    <r>
      <rPr>
        <vertAlign val="superscript"/>
        <sz val="12"/>
        <rFont val="Arial"/>
        <family val="2"/>
      </rPr>
      <t>2</t>
    </r>
  </si>
  <si>
    <r>
      <t>E</t>
    </r>
    <r>
      <rPr>
        <vertAlign val="subscript"/>
        <sz val="12"/>
        <rFont val="Arial"/>
        <family val="2"/>
      </rPr>
      <t>2</t>
    </r>
    <r>
      <rPr>
        <sz val="12"/>
        <rFont val="Arial"/>
      </rPr>
      <t>'+2E</t>
    </r>
    <r>
      <rPr>
        <vertAlign val="subscript"/>
        <sz val="12"/>
        <rFont val="Arial"/>
        <family val="2"/>
      </rPr>
      <t>1</t>
    </r>
    <r>
      <rPr>
        <sz val="12"/>
        <rFont val="Arial"/>
      </rPr>
      <t>'</t>
    </r>
  </si>
  <si>
    <r>
      <t>2E</t>
    </r>
    <r>
      <rPr>
        <vertAlign val="subscript"/>
        <sz val="12"/>
        <rFont val="Arial"/>
        <family val="2"/>
      </rPr>
      <t>2</t>
    </r>
    <r>
      <rPr>
        <sz val="12"/>
        <rFont val="Arial"/>
      </rPr>
      <t>'+E</t>
    </r>
    <r>
      <rPr>
        <vertAlign val="subscript"/>
        <sz val="12"/>
        <rFont val="Arial"/>
        <family val="2"/>
      </rPr>
      <t>1</t>
    </r>
    <r>
      <rPr>
        <sz val="12"/>
        <rFont val="Arial"/>
      </rPr>
      <t>'</t>
    </r>
  </si>
  <si>
    <r>
      <t>1-e</t>
    </r>
    <r>
      <rPr>
        <vertAlign val="superscript"/>
        <sz val="12"/>
        <rFont val="Arial"/>
        <family val="2"/>
      </rPr>
      <t>2</t>
    </r>
    <r>
      <rPr>
        <sz val="10"/>
        <rFont val="Arial"/>
      </rPr>
      <t/>
    </r>
  </si>
  <si>
    <r>
      <t>f</t>
    </r>
    <r>
      <rPr>
        <vertAlign val="subscript"/>
        <sz val="12"/>
        <rFont val="Arial"/>
        <family val="2"/>
      </rPr>
      <t>m</t>
    </r>
    <r>
      <rPr>
        <sz val="12"/>
        <rFont val="Arial"/>
      </rPr>
      <t>' (1st approx - degrees)</t>
    </r>
  </si>
  <si>
    <r>
      <t>1-e</t>
    </r>
    <r>
      <rPr>
        <vertAlign val="superscript"/>
        <sz val="12"/>
        <rFont val="Arial"/>
        <family val="2"/>
      </rPr>
      <t>2</t>
    </r>
    <r>
      <rPr>
        <sz val="12"/>
        <rFont val="Arial"/>
      </rPr>
      <t>sin</t>
    </r>
    <r>
      <rPr>
        <vertAlign val="superscript"/>
        <sz val="12"/>
        <rFont val="Arial"/>
        <family val="2"/>
      </rPr>
      <t>2</t>
    </r>
    <r>
      <rPr>
        <sz val="12"/>
        <rFont val="Symbol"/>
        <family val="1"/>
        <charset val="2"/>
      </rPr>
      <t>f</t>
    </r>
    <r>
      <rPr>
        <vertAlign val="subscript"/>
        <sz val="12"/>
        <rFont val="Arial"/>
        <family val="2"/>
      </rPr>
      <t>m</t>
    </r>
    <r>
      <rPr>
        <sz val="12"/>
        <rFont val="Arial"/>
      </rPr>
      <t>'</t>
    </r>
  </si>
  <si>
    <r>
      <t>f</t>
    </r>
    <r>
      <rPr>
        <vertAlign val="subscript"/>
        <sz val="12"/>
        <rFont val="Arial"/>
        <family val="2"/>
      </rPr>
      <t>m</t>
    </r>
    <r>
      <rPr>
        <sz val="12"/>
        <rFont val="Arial"/>
      </rPr>
      <t>' (1st approx - radians)</t>
    </r>
  </si>
  <si>
    <r>
      <t>r</t>
    </r>
    <r>
      <rPr>
        <vertAlign val="subscript"/>
        <sz val="12"/>
        <rFont val="Arial"/>
        <family val="2"/>
      </rPr>
      <t>m</t>
    </r>
  </si>
  <si>
    <r>
      <t>f</t>
    </r>
    <r>
      <rPr>
        <vertAlign val="subscript"/>
        <sz val="12"/>
        <rFont val="Arial"/>
        <family val="2"/>
      </rPr>
      <t>m</t>
    </r>
    <r>
      <rPr>
        <sz val="12"/>
        <rFont val="Arial"/>
      </rPr>
      <t>' (2nd approx - degrees)</t>
    </r>
  </si>
  <si>
    <r>
      <t>n</t>
    </r>
    <r>
      <rPr>
        <vertAlign val="subscript"/>
        <sz val="12"/>
        <rFont val="Arial"/>
        <family val="2"/>
      </rPr>
      <t>m</t>
    </r>
  </si>
  <si>
    <r>
      <t>f</t>
    </r>
    <r>
      <rPr>
        <vertAlign val="subscript"/>
        <sz val="12"/>
        <rFont val="Arial"/>
        <family val="2"/>
      </rPr>
      <t>m</t>
    </r>
    <r>
      <rPr>
        <sz val="12"/>
        <rFont val="Arial"/>
      </rPr>
      <t>' (2nd approx - radians)</t>
    </r>
  </si>
  <si>
    <r>
      <t>r</t>
    </r>
    <r>
      <rPr>
        <vertAlign val="subscript"/>
        <sz val="12"/>
        <rFont val="Arial"/>
        <family val="2"/>
      </rPr>
      <t>m</t>
    </r>
    <r>
      <rPr>
        <sz val="12"/>
        <rFont val="Arial"/>
      </rPr>
      <t>'</t>
    </r>
    <r>
      <rPr>
        <vertAlign val="superscript"/>
        <sz val="12"/>
        <rFont val="Arial"/>
        <family val="2"/>
      </rPr>
      <t>2</t>
    </r>
  </si>
  <si>
    <r>
      <t>1/6r</t>
    </r>
    <r>
      <rPr>
        <vertAlign val="subscript"/>
        <sz val="12"/>
        <rFont val="Arial"/>
        <family val="2"/>
      </rPr>
      <t>m</t>
    </r>
    <r>
      <rPr>
        <sz val="12"/>
        <rFont val="Arial"/>
      </rPr>
      <t>'</t>
    </r>
    <r>
      <rPr>
        <vertAlign val="superscript"/>
        <sz val="12"/>
        <rFont val="Arial"/>
        <family val="2"/>
      </rPr>
      <t>2</t>
    </r>
  </si>
  <si>
    <r>
      <t>1/27r</t>
    </r>
    <r>
      <rPr>
        <vertAlign val="subscript"/>
        <sz val="12"/>
        <rFont val="Arial"/>
        <family val="2"/>
      </rPr>
      <t>m</t>
    </r>
    <r>
      <rPr>
        <sz val="12"/>
        <rFont val="Arial"/>
      </rPr>
      <t>'</t>
    </r>
    <r>
      <rPr>
        <vertAlign val="superscript"/>
        <sz val="12"/>
        <rFont val="Arial"/>
        <family val="2"/>
      </rPr>
      <t>2</t>
    </r>
  </si>
  <si>
    <r>
      <t>1/36r</t>
    </r>
    <r>
      <rPr>
        <vertAlign val="subscript"/>
        <sz val="12"/>
        <rFont val="Arial"/>
        <family val="2"/>
      </rPr>
      <t>m</t>
    </r>
    <r>
      <rPr>
        <sz val="12"/>
        <rFont val="Arial"/>
      </rPr>
      <t>'</t>
    </r>
    <r>
      <rPr>
        <vertAlign val="superscript"/>
        <sz val="12"/>
        <rFont val="Arial"/>
        <family val="2"/>
      </rPr>
      <t>2</t>
    </r>
  </si>
  <si>
    <r>
      <t>d</t>
    </r>
    <r>
      <rPr>
        <vertAlign val="subscript"/>
        <sz val="12"/>
        <rFont val="Arial"/>
        <family val="2"/>
      </rPr>
      <t>1</t>
    </r>
    <r>
      <rPr>
        <sz val="12"/>
        <rFont val="Arial"/>
        <family val="2"/>
      </rPr>
      <t>(1st part)</t>
    </r>
  </si>
  <si>
    <r>
      <t>q</t>
    </r>
    <r>
      <rPr>
        <sz val="12"/>
        <rFont val="Arial"/>
        <family val="2"/>
      </rPr>
      <t xml:space="preserve"> (angle, radians)</t>
    </r>
  </si>
  <si>
    <r>
      <t>d</t>
    </r>
    <r>
      <rPr>
        <vertAlign val="subscript"/>
        <sz val="12"/>
        <rFont val="Arial"/>
        <family val="2"/>
      </rPr>
      <t xml:space="preserve">1 </t>
    </r>
    <r>
      <rPr>
        <sz val="12"/>
        <rFont val="Arial"/>
        <family val="2"/>
      </rPr>
      <t>(2nd part)</t>
    </r>
  </si>
  <si>
    <r>
      <t>q</t>
    </r>
    <r>
      <rPr>
        <sz val="12"/>
        <rFont val="Arial"/>
        <family val="2"/>
      </rPr>
      <t xml:space="preserve"> (radians)</t>
    </r>
  </si>
  <si>
    <r>
      <t>d</t>
    </r>
    <r>
      <rPr>
        <vertAlign val="subscript"/>
        <sz val="12"/>
        <rFont val="Arial"/>
        <family val="2"/>
      </rPr>
      <t>1</t>
    </r>
    <r>
      <rPr>
        <sz val="12"/>
        <rFont val="Arial"/>
        <family val="2"/>
      </rPr>
      <t xml:space="preserve"> (radians)</t>
    </r>
  </si>
  <si>
    <r>
      <t>q</t>
    </r>
    <r>
      <rPr>
        <sz val="12"/>
        <rFont val="Arial"/>
        <family val="2"/>
      </rPr>
      <t xml:space="preserve"> (degrees)</t>
    </r>
  </si>
  <si>
    <r>
      <t>d</t>
    </r>
    <r>
      <rPr>
        <vertAlign val="subscript"/>
        <sz val="12"/>
        <rFont val="Arial"/>
        <family val="2"/>
      </rPr>
      <t>1</t>
    </r>
    <r>
      <rPr>
        <sz val="12"/>
        <rFont val="Arial"/>
        <family val="2"/>
      </rPr>
      <t xml:space="preserve"> (seconds)</t>
    </r>
  </si>
  <si>
    <r>
      <t>d</t>
    </r>
    <r>
      <rPr>
        <vertAlign val="subscript"/>
        <sz val="12"/>
        <rFont val="Arial"/>
        <family val="2"/>
      </rPr>
      <t>2</t>
    </r>
    <r>
      <rPr>
        <sz val="12"/>
        <rFont val="Arial"/>
        <family val="2"/>
      </rPr>
      <t>(1st part)</t>
    </r>
  </si>
  <si>
    <r>
      <t>d</t>
    </r>
    <r>
      <rPr>
        <vertAlign val="subscript"/>
        <sz val="12"/>
        <rFont val="Arial"/>
        <family val="2"/>
      </rPr>
      <t xml:space="preserve">2 </t>
    </r>
    <r>
      <rPr>
        <sz val="12"/>
        <rFont val="Arial"/>
        <family val="2"/>
      </rPr>
      <t>(2nd part)</t>
    </r>
  </si>
  <si>
    <r>
      <t>d</t>
    </r>
    <r>
      <rPr>
        <vertAlign val="subscript"/>
        <sz val="12"/>
        <rFont val="Arial"/>
        <family val="2"/>
      </rPr>
      <t>2</t>
    </r>
    <r>
      <rPr>
        <sz val="12"/>
        <rFont val="Arial"/>
        <family val="2"/>
      </rPr>
      <t xml:space="preserve"> (radians)</t>
    </r>
  </si>
  <si>
    <r>
      <t>d</t>
    </r>
    <r>
      <rPr>
        <vertAlign val="subscript"/>
        <sz val="12"/>
        <rFont val="Arial"/>
        <family val="2"/>
      </rPr>
      <t>2</t>
    </r>
    <r>
      <rPr>
        <sz val="12"/>
        <rFont val="Arial"/>
        <family val="2"/>
      </rPr>
      <t xml:space="preserve"> (seconds)</t>
    </r>
  </si>
  <si>
    <r>
      <t>b</t>
    </r>
    <r>
      <rPr>
        <vertAlign val="subscript"/>
        <sz val="12"/>
        <rFont val="Arial"/>
        <family val="2"/>
      </rPr>
      <t>1</t>
    </r>
    <r>
      <rPr>
        <sz val="12"/>
        <rFont val="Arial"/>
        <family val="2"/>
      </rPr>
      <t xml:space="preserve"> (radians)</t>
    </r>
  </si>
  <si>
    <r>
      <t>b</t>
    </r>
    <r>
      <rPr>
        <vertAlign val="subscript"/>
        <sz val="12"/>
        <rFont val="Arial"/>
        <family val="2"/>
      </rPr>
      <t>1</t>
    </r>
    <r>
      <rPr>
        <sz val="12"/>
        <rFont val="Arial"/>
        <family val="2"/>
      </rPr>
      <t xml:space="preserve"> (degrees)</t>
    </r>
  </si>
  <si>
    <r>
      <t>b</t>
    </r>
    <r>
      <rPr>
        <vertAlign val="subscript"/>
        <sz val="12"/>
        <rFont val="Arial"/>
        <family val="2"/>
      </rPr>
      <t>2</t>
    </r>
    <r>
      <rPr>
        <sz val="12"/>
        <rFont val="Arial"/>
        <family val="2"/>
      </rPr>
      <t xml:space="preserve"> (radians)</t>
    </r>
  </si>
  <si>
    <r>
      <t>b</t>
    </r>
    <r>
      <rPr>
        <vertAlign val="subscript"/>
        <sz val="12"/>
        <rFont val="Arial"/>
        <family val="2"/>
      </rPr>
      <t>2</t>
    </r>
    <r>
      <rPr>
        <sz val="12"/>
        <rFont val="Arial"/>
        <family val="2"/>
      </rPr>
      <t xml:space="preserve"> (degrees)</t>
    </r>
  </si>
  <si>
    <r>
      <t>aA</t>
    </r>
    <r>
      <rPr>
        <vertAlign val="subscript"/>
        <sz val="12"/>
        <rFont val="Arial"/>
        <family val="2"/>
      </rPr>
      <t>0</t>
    </r>
  </si>
  <si>
    <r>
      <t>aA</t>
    </r>
    <r>
      <rPr>
        <vertAlign val="subscript"/>
        <sz val="12"/>
        <rFont val="Arial"/>
        <family val="2"/>
      </rPr>
      <t>2</t>
    </r>
  </si>
  <si>
    <r>
      <t>aA</t>
    </r>
    <r>
      <rPr>
        <vertAlign val="subscript"/>
        <sz val="12"/>
        <rFont val="Arial"/>
        <family val="2"/>
      </rPr>
      <t>4</t>
    </r>
  </si>
  <si>
    <r>
      <t>aA</t>
    </r>
    <r>
      <rPr>
        <vertAlign val="subscript"/>
        <sz val="12"/>
        <rFont val="Arial"/>
        <family val="2"/>
      </rPr>
      <t>6</t>
    </r>
  </si>
  <si>
    <r>
      <t>Central Scale factor (K</t>
    </r>
    <r>
      <rPr>
        <vertAlign val="subscript"/>
        <sz val="12"/>
        <rFont val="Arial"/>
        <family val="2"/>
      </rPr>
      <t>0</t>
    </r>
    <r>
      <rPr>
        <sz val="12"/>
        <rFont val="Arial"/>
        <family val="2"/>
      </rPr>
      <t>)</t>
    </r>
  </si>
  <si>
    <r>
      <t xml:space="preserve">Plane Distance </t>
    </r>
    <r>
      <rPr>
        <sz val="12"/>
        <rFont val="Arial"/>
        <family val="2"/>
      </rPr>
      <t>(L)</t>
    </r>
  </si>
  <si>
    <r>
      <t>f</t>
    </r>
    <r>
      <rPr>
        <vertAlign val="subscript"/>
        <sz val="12"/>
        <rFont val="Symbol"/>
        <family val="1"/>
        <charset val="2"/>
      </rPr>
      <t>1</t>
    </r>
    <r>
      <rPr>
        <sz val="12"/>
        <rFont val="Arial"/>
      </rPr>
      <t>' (1st approx - degrees)</t>
    </r>
  </si>
  <si>
    <r>
      <t>f</t>
    </r>
    <r>
      <rPr>
        <vertAlign val="subscript"/>
        <sz val="12"/>
        <rFont val="Arial"/>
        <family val="2"/>
      </rPr>
      <t>1</t>
    </r>
    <r>
      <rPr>
        <sz val="12"/>
        <rFont val="Arial"/>
      </rPr>
      <t>' (1st approx - radians)</t>
    </r>
  </si>
  <si>
    <r>
      <t>1-e</t>
    </r>
    <r>
      <rPr>
        <vertAlign val="superscript"/>
        <sz val="12"/>
        <rFont val="Arial"/>
        <family val="2"/>
      </rPr>
      <t>2</t>
    </r>
    <r>
      <rPr>
        <sz val="12"/>
        <rFont val="Arial"/>
      </rPr>
      <t>sin</t>
    </r>
    <r>
      <rPr>
        <vertAlign val="superscript"/>
        <sz val="12"/>
        <rFont val="Arial"/>
        <family val="2"/>
      </rPr>
      <t>2</t>
    </r>
    <r>
      <rPr>
        <sz val="12"/>
        <rFont val="Symbol"/>
        <family val="1"/>
        <charset val="2"/>
      </rPr>
      <t>f</t>
    </r>
    <r>
      <rPr>
        <vertAlign val="subscript"/>
        <sz val="12"/>
        <rFont val="Arial"/>
        <family val="2"/>
      </rPr>
      <t>1</t>
    </r>
    <r>
      <rPr>
        <sz val="12"/>
        <rFont val="Arial"/>
      </rPr>
      <t>'</t>
    </r>
  </si>
  <si>
    <r>
      <t>f</t>
    </r>
    <r>
      <rPr>
        <vertAlign val="subscript"/>
        <sz val="12"/>
        <rFont val="Arial"/>
        <family val="2"/>
      </rPr>
      <t>1</t>
    </r>
    <r>
      <rPr>
        <sz val="12"/>
        <rFont val="Arial"/>
      </rPr>
      <t>' (2nd approx - degrees)</t>
    </r>
  </si>
  <si>
    <r>
      <t>r</t>
    </r>
    <r>
      <rPr>
        <vertAlign val="subscript"/>
        <sz val="12"/>
        <rFont val="Arial"/>
        <family val="2"/>
      </rPr>
      <t>1</t>
    </r>
  </si>
  <si>
    <r>
      <t>f</t>
    </r>
    <r>
      <rPr>
        <vertAlign val="subscript"/>
        <sz val="12"/>
        <rFont val="Arial"/>
        <family val="2"/>
      </rPr>
      <t>1</t>
    </r>
    <r>
      <rPr>
        <sz val="12"/>
        <rFont val="Arial"/>
      </rPr>
      <t>' (2nd approx - radians)</t>
    </r>
  </si>
  <si>
    <r>
      <t>n</t>
    </r>
    <r>
      <rPr>
        <vertAlign val="subscript"/>
        <sz val="12"/>
        <rFont val="Arial"/>
        <family val="2"/>
      </rPr>
      <t>1</t>
    </r>
  </si>
  <si>
    <r>
      <t>r</t>
    </r>
    <r>
      <rPr>
        <vertAlign val="subscript"/>
        <sz val="12"/>
        <rFont val="Arial"/>
        <family val="2"/>
      </rPr>
      <t>1</t>
    </r>
    <r>
      <rPr>
        <vertAlign val="superscript"/>
        <sz val="12"/>
        <rFont val="Arial"/>
        <family val="2"/>
      </rPr>
      <t>2</t>
    </r>
  </si>
  <si>
    <r>
      <t>1/6r1</t>
    </r>
    <r>
      <rPr>
        <vertAlign val="superscript"/>
        <sz val="12"/>
        <rFont val="Arial"/>
        <family val="2"/>
      </rPr>
      <t>2</t>
    </r>
  </si>
  <si>
    <r>
      <t>k</t>
    </r>
    <r>
      <rPr>
        <vertAlign val="subscript"/>
        <sz val="12"/>
        <rFont val="Arial"/>
        <family val="2"/>
      </rPr>
      <t>1</t>
    </r>
    <r>
      <rPr>
        <sz val="12"/>
        <rFont val="Arial"/>
        <family val="2"/>
      </rPr>
      <t xml:space="preserve"> (term 1)</t>
    </r>
  </si>
  <si>
    <r>
      <t>1/27r</t>
    </r>
    <r>
      <rPr>
        <vertAlign val="subscript"/>
        <sz val="12"/>
        <rFont val="Arial"/>
        <family val="2"/>
      </rPr>
      <t>1</t>
    </r>
    <r>
      <rPr>
        <vertAlign val="superscript"/>
        <sz val="12"/>
        <rFont val="Arial"/>
        <family val="2"/>
      </rPr>
      <t>2</t>
    </r>
  </si>
  <si>
    <r>
      <t>k</t>
    </r>
    <r>
      <rPr>
        <vertAlign val="subscript"/>
        <sz val="12"/>
        <rFont val="Arial"/>
        <family val="2"/>
      </rPr>
      <t>1</t>
    </r>
    <r>
      <rPr>
        <sz val="12"/>
        <rFont val="Arial"/>
        <family val="2"/>
      </rPr>
      <t xml:space="preserve"> (term 2)</t>
    </r>
  </si>
  <si>
    <r>
      <t>1/36r</t>
    </r>
    <r>
      <rPr>
        <vertAlign val="subscript"/>
        <sz val="12"/>
        <rFont val="Arial"/>
        <family val="2"/>
      </rPr>
      <t>1</t>
    </r>
    <r>
      <rPr>
        <vertAlign val="superscript"/>
        <sz val="12"/>
        <rFont val="Arial"/>
        <family val="2"/>
      </rPr>
      <t>2</t>
    </r>
  </si>
  <si>
    <r>
      <t>k</t>
    </r>
    <r>
      <rPr>
        <vertAlign val="subscript"/>
        <sz val="12"/>
        <rFont val="Arial"/>
        <family val="2"/>
      </rPr>
      <t>1</t>
    </r>
  </si>
  <si>
    <r>
      <t>N</t>
    </r>
    <r>
      <rPr>
        <vertAlign val="subscript"/>
        <sz val="12"/>
        <rFont val="Arial"/>
        <family val="2"/>
      </rPr>
      <t>2</t>
    </r>
    <r>
      <rPr>
        <sz val="12"/>
        <rFont val="Arial"/>
        <family val="2"/>
      </rPr>
      <t>-N</t>
    </r>
    <r>
      <rPr>
        <vertAlign val="subscript"/>
        <sz val="12"/>
        <rFont val="Arial"/>
        <family val="2"/>
      </rPr>
      <t>1</t>
    </r>
  </si>
  <si>
    <r>
      <t>N</t>
    </r>
    <r>
      <rPr>
        <vertAlign val="subscript"/>
        <sz val="12"/>
        <rFont val="Arial"/>
        <family val="2"/>
      </rPr>
      <t>m</t>
    </r>
    <r>
      <rPr>
        <sz val="12"/>
        <rFont val="Arial"/>
      </rPr>
      <t>'</t>
    </r>
  </si>
  <si>
    <r>
      <t>f</t>
    </r>
    <r>
      <rPr>
        <vertAlign val="subscript"/>
        <sz val="12"/>
        <rFont val="Symbol"/>
        <family val="1"/>
        <charset val="2"/>
      </rPr>
      <t>m</t>
    </r>
    <r>
      <rPr>
        <sz val="12"/>
        <rFont val="Arial"/>
      </rPr>
      <t>' (1st approx - degrees)</t>
    </r>
  </si>
  <si>
    <r>
      <t>1-e</t>
    </r>
    <r>
      <rPr>
        <vertAlign val="superscript"/>
        <sz val="12"/>
        <rFont val="Arial"/>
        <family val="2"/>
      </rPr>
      <t>2</t>
    </r>
    <r>
      <rPr>
        <sz val="12"/>
        <rFont val="Arial"/>
      </rPr>
      <t>sin</t>
    </r>
    <r>
      <rPr>
        <vertAlign val="superscript"/>
        <sz val="12"/>
        <rFont val="Arial"/>
        <family val="2"/>
      </rPr>
      <t>2</t>
    </r>
    <r>
      <rPr>
        <sz val="12"/>
        <rFont val="Symbol"/>
        <family val="1"/>
        <charset val="2"/>
      </rPr>
      <t>f</t>
    </r>
    <r>
      <rPr>
        <vertAlign val="subscript"/>
        <sz val="12"/>
        <rFont val="Arial"/>
        <family val="2"/>
      </rPr>
      <t>m1</t>
    </r>
    <r>
      <rPr>
        <sz val="12"/>
        <rFont val="Arial"/>
      </rPr>
      <t>'</t>
    </r>
  </si>
  <si>
    <r>
      <t>r</t>
    </r>
    <r>
      <rPr>
        <vertAlign val="subscript"/>
        <sz val="12"/>
        <rFont val="Arial"/>
        <family val="2"/>
      </rPr>
      <t>m</t>
    </r>
    <r>
      <rPr>
        <vertAlign val="superscript"/>
        <sz val="12"/>
        <rFont val="Arial"/>
        <family val="2"/>
      </rPr>
      <t>2</t>
    </r>
  </si>
  <si>
    <r>
      <t>1/6r</t>
    </r>
    <r>
      <rPr>
        <vertAlign val="subscript"/>
        <sz val="12"/>
        <rFont val="Arial"/>
        <family val="2"/>
      </rPr>
      <t>m</t>
    </r>
    <r>
      <rPr>
        <vertAlign val="superscript"/>
        <sz val="12"/>
        <rFont val="Arial"/>
        <family val="2"/>
      </rPr>
      <t>2</t>
    </r>
  </si>
  <si>
    <r>
      <t>1/27r</t>
    </r>
    <r>
      <rPr>
        <vertAlign val="subscript"/>
        <sz val="12"/>
        <rFont val="Arial"/>
        <family val="2"/>
      </rPr>
      <t>m</t>
    </r>
    <r>
      <rPr>
        <vertAlign val="superscript"/>
        <sz val="12"/>
        <rFont val="Arial"/>
        <family val="2"/>
      </rPr>
      <t>2</t>
    </r>
  </si>
  <si>
    <r>
      <t>1/36r</t>
    </r>
    <r>
      <rPr>
        <vertAlign val="subscript"/>
        <sz val="12"/>
        <rFont val="Arial"/>
        <family val="2"/>
      </rPr>
      <t>m</t>
    </r>
    <r>
      <rPr>
        <vertAlign val="superscript"/>
        <sz val="12"/>
        <rFont val="Arial"/>
        <family val="2"/>
      </rPr>
      <t>2</t>
    </r>
  </si>
  <si>
    <r>
      <t>D</t>
    </r>
    <r>
      <rPr>
        <sz val="12"/>
        <rFont val="Arial"/>
      </rPr>
      <t>E</t>
    </r>
  </si>
  <si>
    <r>
      <t>D</t>
    </r>
    <r>
      <rPr>
        <sz val="12"/>
        <rFont val="Arial"/>
      </rPr>
      <t>N</t>
    </r>
  </si>
  <si>
    <r>
      <t>E</t>
    </r>
    <r>
      <rPr>
        <vertAlign val="subscript"/>
        <sz val="12"/>
        <rFont val="Arial"/>
        <family val="2"/>
      </rPr>
      <t>2</t>
    </r>
  </si>
  <si>
    <r>
      <t>N</t>
    </r>
    <r>
      <rPr>
        <vertAlign val="subscript"/>
        <sz val="12"/>
        <rFont val="Arial"/>
        <family val="2"/>
      </rPr>
      <t>2</t>
    </r>
  </si>
  <si>
    <t>(Not Applicable)</t>
  </si>
  <si>
    <r>
      <t>Reciprocal flattening (</t>
    </r>
    <r>
      <rPr>
        <vertAlign val="superscript"/>
        <sz val="8"/>
        <rFont val="Arial"/>
        <family val="2"/>
      </rPr>
      <t>1</t>
    </r>
    <r>
      <rPr>
        <sz val="8"/>
        <rFont val="Arial"/>
        <family val="2"/>
      </rPr>
      <t>/</t>
    </r>
    <r>
      <rPr>
        <vertAlign val="subscript"/>
        <sz val="8"/>
        <rFont val="Arial"/>
        <family val="2"/>
      </rPr>
      <t>f</t>
    </r>
    <r>
      <rPr>
        <sz val="8"/>
        <rFont val="Arial"/>
        <family val="2"/>
      </rPr>
      <t>)</t>
    </r>
  </si>
  <si>
    <r>
      <t>Reciprocal flattening (</t>
    </r>
    <r>
      <rPr>
        <vertAlign val="superscript"/>
        <sz val="12"/>
        <rFont val="Arial"/>
        <family val="2"/>
      </rPr>
      <t>1</t>
    </r>
    <r>
      <rPr>
        <sz val="12"/>
        <rFont val="Arial"/>
        <family val="2"/>
      </rPr>
      <t>/</t>
    </r>
    <r>
      <rPr>
        <vertAlign val="subscript"/>
        <sz val="12"/>
        <rFont val="Arial"/>
        <family val="2"/>
      </rPr>
      <t>f</t>
    </r>
    <r>
      <rPr>
        <sz val="12"/>
        <rFont val="Arial"/>
        <family val="2"/>
      </rPr>
      <t>)</t>
    </r>
  </si>
  <si>
    <r>
      <t xml:space="preserve">Reverse Grid Bearing </t>
    </r>
    <r>
      <rPr>
        <sz val="12"/>
        <rFont val="Arial"/>
      </rPr>
      <t>(</t>
    </r>
    <r>
      <rPr>
        <sz val="12"/>
        <rFont val="Symbol"/>
        <family val="1"/>
        <charset val="2"/>
      </rPr>
      <t>b</t>
    </r>
    <r>
      <rPr>
        <vertAlign val="subscript"/>
        <sz val="12"/>
        <rFont val="Arial"/>
        <family val="2"/>
      </rPr>
      <t>2</t>
    </r>
    <r>
      <rPr>
        <sz val="12"/>
        <rFont val="Arial"/>
        <family val="2"/>
      </rPr>
      <t>)</t>
    </r>
  </si>
  <si>
    <t>Longitude of the central meridian (degrees)</t>
  </si>
  <si>
    <t>ANS (ACT Grid)</t>
  </si>
  <si>
    <t>Grid Bearing and Ellipsoidal Distance from Grid Coordinates (SGC)</t>
  </si>
  <si>
    <t xml:space="preserve">Grid Coordinates from Grid Bearing and Ellipsoidal Distance (SGC) </t>
  </si>
  <si>
    <r>
      <t>Arc to Chord correction</t>
    </r>
    <r>
      <rPr>
        <b/>
        <sz val="10"/>
        <rFont val="Symbol"/>
        <family val="1"/>
        <charset val="2"/>
      </rPr>
      <t xml:space="preserve"> (d</t>
    </r>
    <r>
      <rPr>
        <b/>
        <vertAlign val="subscript"/>
        <sz val="10"/>
        <rFont val="Arial"/>
        <family val="2"/>
      </rPr>
      <t>1</t>
    </r>
    <r>
      <rPr>
        <b/>
        <sz val="10"/>
        <rFont val="Arial"/>
        <family val="2"/>
      </rPr>
      <t xml:space="preserve">) </t>
    </r>
  </si>
  <si>
    <r>
      <t>Arc to Chord correction (</t>
    </r>
    <r>
      <rPr>
        <b/>
        <sz val="10"/>
        <rFont val="Symbol"/>
        <family val="1"/>
        <charset val="2"/>
      </rPr>
      <t>d</t>
    </r>
    <r>
      <rPr>
        <b/>
        <vertAlign val="subscript"/>
        <sz val="10"/>
        <rFont val="Arial"/>
        <family val="2"/>
      </rPr>
      <t>2</t>
    </r>
    <r>
      <rPr>
        <b/>
        <sz val="10"/>
        <rFont val="Arial"/>
        <family val="2"/>
      </rPr>
      <t>)</t>
    </r>
  </si>
  <si>
    <r>
      <t>Line Scale Factor, LSF</t>
    </r>
    <r>
      <rPr>
        <sz val="12"/>
        <rFont val="Arial"/>
      </rPr>
      <t xml:space="preserve"> (K)</t>
    </r>
  </si>
  <si>
    <t>ANS ( for ACT Grid)</t>
  </si>
  <si>
    <r>
      <t>Line Scale Factor, LSF</t>
    </r>
    <r>
      <rPr>
        <b/>
        <sz val="10"/>
        <rFont val="Arial"/>
      </rPr>
      <t xml:space="preserve"> (K)</t>
    </r>
  </si>
  <si>
    <r>
      <t xml:space="preserve">Ellipsoidal Distance </t>
    </r>
    <r>
      <rPr>
        <sz val="12"/>
        <rFont val="Arial"/>
      </rPr>
      <t>(s)</t>
    </r>
  </si>
  <si>
    <t>Local Ground Distance</t>
  </si>
  <si>
    <t>RL</t>
  </si>
  <si>
    <t>Height Differences</t>
  </si>
  <si>
    <t>Difference in Elevation</t>
  </si>
  <si>
    <t>Mean Elevation above Datum</t>
  </si>
  <si>
    <r>
      <t>R</t>
    </r>
    <r>
      <rPr>
        <vertAlign val="subscript"/>
        <sz val="12"/>
        <rFont val="Symbol"/>
        <family val="1"/>
        <charset val="2"/>
      </rPr>
      <t>b 1-2</t>
    </r>
  </si>
  <si>
    <t>Mean Reduced Level above Datum</t>
  </si>
  <si>
    <r>
      <t>q</t>
    </r>
    <r>
      <rPr>
        <vertAlign val="subscript"/>
        <sz val="12"/>
        <rFont val="Symbol"/>
        <family val="1"/>
        <charset val="2"/>
      </rPr>
      <t>1</t>
    </r>
    <r>
      <rPr>
        <sz val="12"/>
        <rFont val="Symbol"/>
        <family val="1"/>
        <charset val="2"/>
      </rPr>
      <t xml:space="preserve"> (</t>
    </r>
    <r>
      <rPr>
        <sz val="12"/>
        <rFont val="Arial"/>
        <family val="2"/>
      </rPr>
      <t>radians</t>
    </r>
    <r>
      <rPr>
        <sz val="12"/>
        <rFont val="Symbol"/>
        <family val="1"/>
        <charset val="2"/>
      </rPr>
      <t>)</t>
    </r>
  </si>
  <si>
    <r>
      <t>q</t>
    </r>
    <r>
      <rPr>
        <vertAlign val="subscript"/>
        <sz val="12"/>
        <rFont val="Symbol"/>
        <family val="1"/>
        <charset val="2"/>
      </rPr>
      <t>1</t>
    </r>
    <r>
      <rPr>
        <sz val="12"/>
        <rFont val="Symbol"/>
        <family val="1"/>
        <charset val="2"/>
      </rPr>
      <t xml:space="preserve"> (</t>
    </r>
    <r>
      <rPr>
        <sz val="12"/>
        <rFont val="Arial"/>
        <family val="2"/>
      </rPr>
      <t>degrees</t>
    </r>
    <r>
      <rPr>
        <sz val="12"/>
        <rFont val="Symbol"/>
        <family val="1"/>
        <charset val="2"/>
      </rPr>
      <t>)</t>
    </r>
  </si>
  <si>
    <r>
      <t>Plane Bearing</t>
    </r>
    <r>
      <rPr>
        <sz val="12"/>
        <rFont val="Symbol"/>
        <family val="1"/>
        <charset val="2"/>
      </rPr>
      <t xml:space="preserve"> (q</t>
    </r>
    <r>
      <rPr>
        <vertAlign val="subscript"/>
        <sz val="12"/>
        <rFont val="Symbol"/>
        <family val="1"/>
        <charset val="2"/>
      </rPr>
      <t>1</t>
    </r>
    <r>
      <rPr>
        <sz val="12"/>
        <rFont val="Symbol"/>
        <family val="1"/>
        <charset val="2"/>
      </rPr>
      <t>)</t>
    </r>
  </si>
  <si>
    <r>
      <t>"Measured" Wave Path Chord d</t>
    </r>
    <r>
      <rPr>
        <vertAlign val="subscript"/>
        <sz val="12"/>
        <rFont val="Arial"/>
        <family val="2"/>
      </rPr>
      <t>2</t>
    </r>
  </si>
  <si>
    <r>
      <t>Ellipsoidal Chord Distance d</t>
    </r>
    <r>
      <rPr>
        <vertAlign val="subscript"/>
        <sz val="12"/>
        <rFont val="Arial"/>
        <family val="2"/>
      </rPr>
      <t>3</t>
    </r>
  </si>
  <si>
    <t>ONE TREE</t>
  </si>
  <si>
    <t>COREE</t>
  </si>
  <si>
    <t>NE DUNLOP</t>
  </si>
  <si>
    <t>WALLAROO ROAD</t>
  </si>
  <si>
    <t>Coree  (TS 1642)</t>
  </si>
  <si>
    <r>
      <t>Reverse Grid Bearing (</t>
    </r>
    <r>
      <rPr>
        <b/>
        <sz val="10"/>
        <rFont val="Symbol"/>
        <family val="1"/>
        <charset val="2"/>
      </rPr>
      <t>b</t>
    </r>
    <r>
      <rPr>
        <b/>
        <sz val="10"/>
        <rFont val="Arial"/>
      </rPr>
      <t>2)</t>
    </r>
  </si>
  <si>
    <t>Ellipsoidal Distance (s)</t>
  </si>
  <si>
    <t>One Tree (TS 3623)</t>
  </si>
  <si>
    <r>
      <t>Plane Bearing (</t>
    </r>
    <r>
      <rPr>
        <b/>
        <sz val="10"/>
        <rFont val="Arial"/>
      </rPr>
      <t>θ</t>
    </r>
    <r>
      <rPr>
        <b/>
        <vertAlign val="subscript"/>
        <sz val="10"/>
        <rFont val="Arial"/>
        <family val="2"/>
      </rPr>
      <t>1</t>
    </r>
    <r>
      <rPr>
        <b/>
        <sz val="10"/>
        <rFont val="Arial"/>
        <family val="2"/>
      </rPr>
      <t>)</t>
    </r>
  </si>
  <si>
    <r>
      <t xml:space="preserve">Ellipsoidal Chord Distance </t>
    </r>
    <r>
      <rPr>
        <sz val="12"/>
        <rFont val="Arial"/>
        <family val="2"/>
      </rPr>
      <t>(d</t>
    </r>
    <r>
      <rPr>
        <vertAlign val="subscript"/>
        <sz val="12"/>
        <rFont val="Arial"/>
        <family val="2"/>
      </rPr>
      <t>3</t>
    </r>
    <r>
      <rPr>
        <sz val="12"/>
        <rFont val="Arial"/>
        <family val="2"/>
      </rPr>
      <t>)</t>
    </r>
    <r>
      <rPr>
        <b/>
        <sz val="12"/>
        <rFont val="Arial"/>
      </rPr>
      <t xml:space="preserve"> </t>
    </r>
  </si>
  <si>
    <t>RL (AHD)</t>
  </si>
  <si>
    <t>Combined Scale Factor (on Grid Surface)</t>
  </si>
</sst>
</file>

<file path=xl/styles.xml><?xml version="1.0" encoding="utf-8"?>
<styleSheet xmlns="http://schemas.openxmlformats.org/spreadsheetml/2006/main">
  <numFmts count="14">
    <numFmt numFmtId="164" formatCode="0,000,000.000"/>
    <numFmt numFmtId="165" formatCode="0.000\ 000\ 000\ 000"/>
    <numFmt numFmtId="166" formatCode="000,000.0000"/>
    <numFmt numFmtId="167" formatCode="0\°"/>
    <numFmt numFmtId="168" formatCode="00\°"/>
    <numFmt numFmtId="169" formatCode="0.000"/>
    <numFmt numFmtId="170" formatCode="00\'"/>
    <numFmt numFmtId="171" formatCode="0.00\&quot;"/>
    <numFmt numFmtId="172" formatCode="00.00\&quot;"/>
    <numFmt numFmtId="173" formatCode="000,000.000"/>
    <numFmt numFmtId="174" formatCode="0.000\ 000\ 0000"/>
    <numFmt numFmtId="175" formatCode="0.000\ 000\ 00"/>
    <numFmt numFmtId="176" formatCode="#,##0.000"/>
    <numFmt numFmtId="177" formatCode="#,##0.0000"/>
  </numFmts>
  <fonts count="36">
    <font>
      <sz val="10"/>
      <name val="Arial"/>
    </font>
    <font>
      <b/>
      <sz val="10"/>
      <name val="Arial"/>
    </font>
    <font>
      <b/>
      <sz val="12"/>
      <name val="Arial"/>
    </font>
    <font>
      <b/>
      <sz val="12"/>
      <color indexed="10"/>
      <name val="Arial"/>
      <family val="2"/>
    </font>
    <font>
      <sz val="12"/>
      <name val="Arial"/>
      <family val="2"/>
    </font>
    <font>
      <sz val="10"/>
      <color indexed="10"/>
      <name val="Arial"/>
      <family val="2"/>
    </font>
    <font>
      <vertAlign val="superscript"/>
      <sz val="12"/>
      <name val="Arial"/>
      <family val="2"/>
    </font>
    <font>
      <vertAlign val="subscript"/>
      <sz val="12"/>
      <name val="Arial"/>
      <family val="2"/>
    </font>
    <font>
      <sz val="10"/>
      <color indexed="16"/>
      <name val="Arial"/>
      <family val="2"/>
    </font>
    <font>
      <b/>
      <sz val="10"/>
      <name val="Arial"/>
      <family val="2"/>
    </font>
    <font>
      <b/>
      <sz val="8"/>
      <name val="Arial"/>
      <family val="2"/>
    </font>
    <font>
      <b/>
      <sz val="8"/>
      <color indexed="10"/>
      <name val="Arial"/>
      <family val="2"/>
    </font>
    <font>
      <sz val="8"/>
      <name val="Arial"/>
      <family val="2"/>
    </font>
    <font>
      <sz val="8"/>
      <color indexed="10"/>
      <name val="Arial"/>
      <family val="2"/>
    </font>
    <font>
      <vertAlign val="superscript"/>
      <sz val="8"/>
      <name val="Arial"/>
      <family val="2"/>
    </font>
    <font>
      <vertAlign val="subscript"/>
      <sz val="8"/>
      <name val="Arial"/>
      <family val="2"/>
    </font>
    <font>
      <b/>
      <sz val="10"/>
      <name val="Symbol"/>
      <family val="1"/>
      <charset val="2"/>
    </font>
    <font>
      <sz val="10"/>
      <color indexed="81"/>
      <name val="Tahoma"/>
    </font>
    <font>
      <b/>
      <sz val="12"/>
      <name val="Arial"/>
      <family val="2"/>
    </font>
    <font>
      <sz val="12"/>
      <name val="Arial"/>
    </font>
    <font>
      <sz val="12"/>
      <color indexed="10"/>
      <name val="Arial"/>
      <family val="2"/>
    </font>
    <font>
      <sz val="12"/>
      <color indexed="16"/>
      <name val="Arial"/>
      <family val="2"/>
    </font>
    <font>
      <sz val="12"/>
      <name val="Symbol"/>
      <family val="1"/>
      <charset val="2"/>
    </font>
    <font>
      <sz val="12"/>
      <color indexed="8"/>
      <name val="Arial"/>
      <family val="2"/>
    </font>
    <font>
      <vertAlign val="subscript"/>
      <sz val="12"/>
      <color indexed="8"/>
      <name val="Arial"/>
      <family val="2"/>
    </font>
    <font>
      <vertAlign val="subscript"/>
      <sz val="12"/>
      <name val="Arial"/>
    </font>
    <font>
      <vertAlign val="subscript"/>
      <sz val="12"/>
      <name val="Symbol"/>
      <family val="1"/>
      <charset val="2"/>
    </font>
    <font>
      <b/>
      <i/>
      <sz val="12"/>
      <name val="Arial"/>
      <family val="2"/>
    </font>
    <font>
      <b/>
      <vertAlign val="subscript"/>
      <sz val="10"/>
      <name val="Arial"/>
      <family val="2"/>
    </font>
    <font>
      <b/>
      <sz val="12"/>
      <color indexed="16"/>
      <name val="Arial"/>
      <family val="2"/>
    </font>
    <font>
      <i/>
      <sz val="12"/>
      <color indexed="16"/>
      <name val="Arial"/>
      <family val="2"/>
    </font>
    <font>
      <b/>
      <i/>
      <sz val="12"/>
      <color indexed="16"/>
      <name val="Arial"/>
      <family val="2"/>
    </font>
    <font>
      <i/>
      <sz val="12"/>
      <color indexed="10"/>
      <name val="Arial"/>
      <family val="2"/>
    </font>
    <font>
      <b/>
      <sz val="10"/>
      <color indexed="10"/>
      <name val="Arial"/>
      <family val="2"/>
    </font>
    <font>
      <b/>
      <sz val="10"/>
      <color indexed="16"/>
      <name val="Arial"/>
      <family val="2"/>
    </font>
    <font>
      <b/>
      <i/>
      <sz val="10"/>
      <name val="Arial"/>
      <family val="2"/>
    </font>
  </fonts>
  <fills count="8">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43"/>
        <bgColor indexed="64"/>
      </patternFill>
    </fill>
    <fill>
      <patternFill patternType="solid">
        <fgColor indexed="22"/>
        <bgColor indexed="64"/>
      </patternFill>
    </fill>
    <fill>
      <patternFill patternType="solid">
        <fgColor rgb="FFE6E6E6"/>
        <bgColor indexed="64"/>
      </patternFill>
    </fill>
    <fill>
      <patternFill patternType="solid">
        <fgColor theme="0" tint="-0.14999847407452621"/>
        <bgColor indexed="64"/>
      </patternFill>
    </fill>
  </fills>
  <borders count="12">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143">
    <xf numFmtId="0" fontId="0" fillId="0" borderId="0" xfId="0"/>
    <xf numFmtId="0" fontId="4" fillId="0" borderId="1" xfId="0" applyFont="1" applyBorder="1"/>
    <xf numFmtId="0" fontId="4" fillId="0" borderId="2" xfId="0" applyFont="1" applyBorder="1"/>
    <xf numFmtId="164" fontId="4" fillId="0" borderId="2" xfId="0" applyNumberFormat="1" applyFont="1" applyBorder="1"/>
    <xf numFmtId="165" fontId="4" fillId="0" borderId="2" xfId="0" applyNumberFormat="1" applyFont="1" applyBorder="1"/>
    <xf numFmtId="0" fontId="0" fillId="0" borderId="1" xfId="0" applyBorder="1"/>
    <xf numFmtId="0" fontId="0" fillId="0" borderId="2" xfId="0" applyBorder="1"/>
    <xf numFmtId="0" fontId="1" fillId="0" borderId="3" xfId="0" applyFont="1" applyBorder="1"/>
    <xf numFmtId="0" fontId="0" fillId="0" borderId="4" xfId="0" applyBorder="1"/>
    <xf numFmtId="0" fontId="0" fillId="0" borderId="5" xfId="0" applyBorder="1"/>
    <xf numFmtId="0" fontId="0" fillId="0" borderId="0" xfId="0" applyBorder="1"/>
    <xf numFmtId="0" fontId="1" fillId="0" borderId="0" xfId="0" applyFont="1" applyBorder="1" applyAlignment="1">
      <alignment horizontal="center"/>
    </xf>
    <xf numFmtId="0" fontId="1" fillId="0" borderId="1" xfId="0" applyFont="1" applyBorder="1" applyAlignment="1">
      <alignment horizontal="right"/>
    </xf>
    <xf numFmtId="0" fontId="0" fillId="0" borderId="6" xfId="0" applyBorder="1"/>
    <xf numFmtId="169" fontId="8" fillId="2" borderId="0" xfId="0" applyNumberFormat="1" applyFont="1" applyFill="1" applyBorder="1"/>
    <xf numFmtId="167" fontId="8" fillId="2" borderId="0" xfId="0" applyNumberFormat="1" applyFont="1" applyFill="1" applyBorder="1"/>
    <xf numFmtId="170" fontId="8" fillId="2" borderId="0" xfId="0" applyNumberFormat="1" applyFont="1" applyFill="1" applyBorder="1" applyAlignment="1">
      <alignment horizontal="center"/>
    </xf>
    <xf numFmtId="172" fontId="8" fillId="2" borderId="0" xfId="0" applyNumberFormat="1" applyFont="1" applyFill="1" applyBorder="1" applyAlignment="1">
      <alignment horizontal="left"/>
    </xf>
    <xf numFmtId="0" fontId="9" fillId="0" borderId="1" xfId="0" applyFont="1" applyBorder="1"/>
    <xf numFmtId="0" fontId="10" fillId="0" borderId="3" xfId="0" applyFont="1" applyBorder="1"/>
    <xf numFmtId="0" fontId="12" fillId="0" borderId="1" xfId="0" applyFont="1" applyBorder="1"/>
    <xf numFmtId="0" fontId="12" fillId="0" borderId="2" xfId="0" applyFont="1" applyBorder="1"/>
    <xf numFmtId="0" fontId="10" fillId="0" borderId="1" xfId="0" applyFont="1" applyBorder="1"/>
    <xf numFmtId="0" fontId="12" fillId="0" borderId="7" xfId="0" applyFont="1" applyBorder="1" applyAlignment="1">
      <alignment wrapText="1"/>
    </xf>
    <xf numFmtId="0" fontId="0" fillId="0" borderId="8" xfId="0" applyBorder="1"/>
    <xf numFmtId="0" fontId="9" fillId="0" borderId="7" xfId="0" applyFont="1" applyBorder="1" applyAlignment="1">
      <alignment horizontal="right"/>
    </xf>
    <xf numFmtId="0" fontId="9" fillId="0" borderId="0" xfId="0" applyFont="1" applyAlignment="1">
      <alignment horizontal="center"/>
    </xf>
    <xf numFmtId="0" fontId="9" fillId="0" borderId="0" xfId="0" applyFont="1" applyAlignment="1">
      <alignment horizontal="left"/>
    </xf>
    <xf numFmtId="0" fontId="2" fillId="0" borderId="0" xfId="0" applyFont="1"/>
    <xf numFmtId="0" fontId="19" fillId="0" borderId="0" xfId="0" applyFont="1"/>
    <xf numFmtId="0" fontId="3" fillId="3" borderId="0" xfId="0" applyFont="1" applyFill="1" applyAlignment="1">
      <alignment horizontal="center"/>
    </xf>
    <xf numFmtId="0" fontId="2" fillId="0" borderId="0" xfId="0" applyFont="1" applyAlignment="1">
      <alignment horizontal="center"/>
    </xf>
    <xf numFmtId="0" fontId="2" fillId="0" borderId="9" xfId="0" applyFont="1" applyBorder="1" applyAlignment="1">
      <alignment horizontal="center"/>
    </xf>
    <xf numFmtId="0" fontId="2" fillId="0" borderId="0" xfId="0" applyFont="1" applyAlignment="1">
      <alignment horizontal="right"/>
    </xf>
    <xf numFmtId="0" fontId="21" fillId="2" borderId="10" xfId="0" applyFont="1" applyFill="1" applyBorder="1"/>
    <xf numFmtId="169" fontId="21" fillId="2" borderId="0" xfId="0" applyNumberFormat="1" applyFont="1" applyFill="1"/>
    <xf numFmtId="167" fontId="21" fillId="2" borderId="0" xfId="0" applyNumberFormat="1" applyFont="1" applyFill="1"/>
    <xf numFmtId="170" fontId="21" fillId="2" borderId="0" xfId="0" applyNumberFormat="1" applyFont="1" applyFill="1" applyAlignment="1">
      <alignment horizontal="center"/>
    </xf>
    <xf numFmtId="172" fontId="21" fillId="2" borderId="0" xfId="0" applyNumberFormat="1" applyFont="1" applyFill="1" applyAlignment="1">
      <alignment horizontal="left"/>
    </xf>
    <xf numFmtId="0" fontId="18" fillId="0" borderId="0" xfId="0" applyFont="1" applyAlignment="1">
      <alignment horizontal="right"/>
    </xf>
    <xf numFmtId="171" fontId="21" fillId="2" borderId="0" xfId="0" applyNumberFormat="1" applyFont="1" applyFill="1"/>
    <xf numFmtId="0" fontId="19" fillId="0" borderId="0" xfId="0" applyFont="1" applyAlignment="1">
      <alignment horizontal="right"/>
    </xf>
    <xf numFmtId="0" fontId="23" fillId="0" borderId="0" xfId="0" applyFont="1" applyAlignment="1">
      <alignment horizontal="left"/>
    </xf>
    <xf numFmtId="0" fontId="23" fillId="0" borderId="0" xfId="0" applyFont="1" applyAlignment="1">
      <alignment horizontal="right"/>
    </xf>
    <xf numFmtId="169" fontId="19" fillId="0" borderId="0" xfId="0" applyNumberFormat="1" applyFont="1"/>
    <xf numFmtId="0" fontId="19" fillId="0" borderId="0" xfId="0" applyFont="1" applyAlignment="1">
      <alignment horizontal="left"/>
    </xf>
    <xf numFmtId="11" fontId="19" fillId="0" borderId="0" xfId="0" applyNumberFormat="1" applyFont="1" applyAlignment="1">
      <alignment horizontal="right"/>
    </xf>
    <xf numFmtId="0" fontId="2" fillId="0" borderId="0" xfId="0" applyFont="1" applyAlignment="1">
      <alignment horizontal="centerContinuous"/>
    </xf>
    <xf numFmtId="0" fontId="19" fillId="0" borderId="0" xfId="0" applyFont="1" applyAlignment="1">
      <alignment horizontal="centerContinuous"/>
    </xf>
    <xf numFmtId="0" fontId="22" fillId="0" borderId="0" xfId="0" applyFont="1" applyAlignment="1">
      <alignment horizontal="right"/>
    </xf>
    <xf numFmtId="2" fontId="19" fillId="0" borderId="0" xfId="0" applyNumberFormat="1" applyFont="1"/>
    <xf numFmtId="0" fontId="22" fillId="0" borderId="0" xfId="0" applyFont="1"/>
    <xf numFmtId="169" fontId="19" fillId="0" borderId="0" xfId="0" applyNumberFormat="1" applyFont="1" applyAlignment="1">
      <alignment horizontal="centerContinuous"/>
    </xf>
    <xf numFmtId="0" fontId="18" fillId="0" borderId="0" xfId="0" applyFont="1" applyAlignment="1">
      <alignment horizontal="centerContinuous"/>
    </xf>
    <xf numFmtId="0" fontId="19" fillId="0" borderId="0" xfId="0" applyFont="1" applyAlignment="1">
      <alignment horizontal="center"/>
    </xf>
    <xf numFmtId="0" fontId="19" fillId="0" borderId="0" xfId="0" applyFont="1" applyBorder="1"/>
    <xf numFmtId="174" fontId="19" fillId="0" borderId="0" xfId="0" applyNumberFormat="1" applyFont="1" applyBorder="1"/>
    <xf numFmtId="0" fontId="19" fillId="0" borderId="0" xfId="0" applyFont="1" applyBorder="1" applyAlignment="1">
      <alignment horizontal="center"/>
    </xf>
    <xf numFmtId="0" fontId="4" fillId="0" borderId="0" xfId="0" applyFont="1"/>
    <xf numFmtId="0" fontId="18" fillId="0" borderId="3" xfId="0" applyFont="1" applyBorder="1"/>
    <xf numFmtId="0" fontId="18" fillId="0" borderId="1" xfId="0" applyFont="1" applyBorder="1"/>
    <xf numFmtId="0" fontId="4" fillId="0" borderId="7" xfId="0" applyFont="1" applyBorder="1" applyAlignment="1">
      <alignment wrapText="1"/>
    </xf>
    <xf numFmtId="0" fontId="4" fillId="0" borderId="0" xfId="0" applyFont="1" applyAlignment="1">
      <alignment wrapText="1"/>
    </xf>
    <xf numFmtId="168" fontId="4" fillId="0" borderId="0" xfId="0" applyNumberFormat="1" applyFont="1"/>
    <xf numFmtId="172" fontId="21" fillId="2" borderId="0" xfId="0" applyNumberFormat="1" applyFont="1" applyFill="1"/>
    <xf numFmtId="173" fontId="19" fillId="0" borderId="0" xfId="0" applyNumberFormat="1" applyFont="1" applyAlignment="1">
      <alignment horizontal="right"/>
    </xf>
    <xf numFmtId="164" fontId="19" fillId="0" borderId="0" xfId="0" applyNumberFormat="1" applyFont="1" applyAlignment="1">
      <alignment horizontal="right"/>
    </xf>
    <xf numFmtId="0" fontId="4" fillId="0" borderId="0" xfId="0" applyFont="1" applyAlignment="1">
      <alignment horizontal="right"/>
    </xf>
    <xf numFmtId="173" fontId="19" fillId="0" borderId="0" xfId="0" applyNumberFormat="1" applyFont="1"/>
    <xf numFmtId="165" fontId="4" fillId="0" borderId="0" xfId="0" applyNumberFormat="1" applyFont="1"/>
    <xf numFmtId="0" fontId="27" fillId="0" borderId="0" xfId="0" applyFont="1" applyAlignment="1">
      <alignment horizontal="right"/>
    </xf>
    <xf numFmtId="0" fontId="9" fillId="0" borderId="1" xfId="0" applyFont="1" applyBorder="1" applyAlignment="1">
      <alignment horizontal="right"/>
    </xf>
    <xf numFmtId="175" fontId="8" fillId="2" borderId="0" xfId="0" applyNumberFormat="1" applyFont="1" applyFill="1" applyBorder="1"/>
    <xf numFmtId="0" fontId="2" fillId="0" borderId="0" xfId="0" applyFont="1" applyFill="1" applyAlignment="1">
      <alignment horizontal="center"/>
    </xf>
    <xf numFmtId="0" fontId="21" fillId="2" borderId="10" xfId="0" applyFont="1" applyFill="1" applyBorder="1" applyAlignment="1">
      <alignment horizontal="right"/>
    </xf>
    <xf numFmtId="176" fontId="19" fillId="0" borderId="0" xfId="0" applyNumberFormat="1" applyFont="1"/>
    <xf numFmtId="0" fontId="18" fillId="0" borderId="0" xfId="0" applyFont="1" applyAlignment="1">
      <alignment horizontal="center"/>
    </xf>
    <xf numFmtId="0" fontId="19" fillId="4" borderId="0" xfId="0" applyFont="1" applyFill="1"/>
    <xf numFmtId="169" fontId="3" fillId="4" borderId="0" xfId="0" applyNumberFormat="1" applyFont="1" applyFill="1" applyAlignment="1">
      <alignment horizontal="right"/>
    </xf>
    <xf numFmtId="176" fontId="3" fillId="4" borderId="0" xfId="0" applyNumberFormat="1" applyFont="1" applyFill="1" applyAlignment="1">
      <alignment horizontal="right"/>
    </xf>
    <xf numFmtId="0" fontId="23" fillId="4" borderId="0" xfId="0" applyFont="1" applyFill="1" applyAlignment="1">
      <alignment horizontal="right"/>
    </xf>
    <xf numFmtId="0" fontId="19" fillId="4" borderId="0" xfId="0" applyFont="1" applyFill="1" applyAlignment="1">
      <alignment horizontal="right"/>
    </xf>
    <xf numFmtId="0" fontId="22" fillId="4" borderId="0" xfId="0" applyFont="1" applyFill="1" applyAlignment="1">
      <alignment horizontal="right"/>
    </xf>
    <xf numFmtId="11" fontId="19" fillId="4" borderId="0" xfId="0" applyNumberFormat="1" applyFont="1" applyFill="1" applyAlignment="1">
      <alignment horizontal="right"/>
    </xf>
    <xf numFmtId="0" fontId="2" fillId="4" borderId="0" xfId="0" applyFont="1" applyFill="1" applyAlignment="1">
      <alignment horizontal="centerContinuous"/>
    </xf>
    <xf numFmtId="0" fontId="19" fillId="4" borderId="0" xfId="0" applyFont="1" applyFill="1" applyAlignment="1">
      <alignment horizontal="centerContinuous"/>
    </xf>
    <xf numFmtId="169" fontId="19" fillId="4" borderId="0" xfId="0" applyNumberFormat="1" applyFont="1" applyFill="1"/>
    <xf numFmtId="164" fontId="19" fillId="4" borderId="0" xfId="0" applyNumberFormat="1" applyFont="1" applyFill="1"/>
    <xf numFmtId="169" fontId="19" fillId="4" borderId="0" xfId="0" applyNumberFormat="1" applyFont="1" applyFill="1" applyAlignment="1">
      <alignment horizontal="centerContinuous"/>
    </xf>
    <xf numFmtId="2" fontId="19" fillId="4" borderId="0" xfId="0" applyNumberFormat="1" applyFont="1" applyFill="1"/>
    <xf numFmtId="176" fontId="31" fillId="4" borderId="0" xfId="0" applyNumberFormat="1" applyFont="1" applyFill="1"/>
    <xf numFmtId="166" fontId="21" fillId="2" borderId="0" xfId="0" applyNumberFormat="1" applyFont="1" applyFill="1"/>
    <xf numFmtId="177" fontId="30" fillId="2" borderId="0" xfId="0" applyNumberFormat="1" applyFont="1" applyFill="1"/>
    <xf numFmtId="177" fontId="31" fillId="4" borderId="0" xfId="0" applyNumberFormat="1" applyFont="1" applyFill="1"/>
    <xf numFmtId="175" fontId="29" fillId="4" borderId="0" xfId="0" applyNumberFormat="1" applyFont="1" applyFill="1"/>
    <xf numFmtId="175" fontId="21" fillId="4" borderId="0" xfId="0" applyNumberFormat="1" applyFont="1" applyFill="1"/>
    <xf numFmtId="175" fontId="21" fillId="2" borderId="0" xfId="0" applyNumberFormat="1" applyFont="1" applyFill="1"/>
    <xf numFmtId="166" fontId="8" fillId="2" borderId="0" xfId="0" applyNumberFormat="1" applyFont="1" applyFill="1"/>
    <xf numFmtId="177" fontId="8" fillId="2" borderId="0" xfId="0" applyNumberFormat="1" applyFont="1" applyFill="1" applyBorder="1"/>
    <xf numFmtId="171" fontId="8" fillId="2" borderId="0" xfId="0" applyNumberFormat="1" applyFont="1" applyFill="1" applyBorder="1"/>
    <xf numFmtId="0" fontId="1" fillId="0" borderId="2" xfId="0" applyFont="1" applyBorder="1" applyAlignment="1">
      <alignment horizontal="center"/>
    </xf>
    <xf numFmtId="176" fontId="33" fillId="2" borderId="0" xfId="0" applyNumberFormat="1" applyFont="1" applyFill="1" applyBorder="1"/>
    <xf numFmtId="177" fontId="34" fillId="2" borderId="8" xfId="0" applyNumberFormat="1" applyFont="1" applyFill="1" applyBorder="1"/>
    <xf numFmtId="0" fontId="35" fillId="0" borderId="1" xfId="0" applyFont="1" applyBorder="1" applyAlignment="1">
      <alignment horizontal="right"/>
    </xf>
    <xf numFmtId="175" fontId="34" fillId="2" borderId="0" xfId="0" applyNumberFormat="1" applyFont="1" applyFill="1" applyBorder="1"/>
    <xf numFmtId="177" fontId="8" fillId="0" borderId="0" xfId="0" applyNumberFormat="1" applyFont="1" applyFill="1" applyBorder="1"/>
    <xf numFmtId="167" fontId="8" fillId="0" borderId="0" xfId="0" applyNumberFormat="1" applyFont="1" applyFill="1" applyBorder="1"/>
    <xf numFmtId="170" fontId="8" fillId="0" borderId="0" xfId="0" applyNumberFormat="1" applyFont="1" applyFill="1" applyBorder="1" applyAlignment="1">
      <alignment horizontal="center"/>
    </xf>
    <xf numFmtId="172" fontId="8" fillId="0" borderId="0" xfId="0" applyNumberFormat="1" applyFont="1" applyFill="1" applyBorder="1" applyAlignment="1">
      <alignment horizontal="left"/>
    </xf>
    <xf numFmtId="176" fontId="5" fillId="5" borderId="2" xfId="0" applyNumberFormat="1" applyFont="1" applyFill="1" applyBorder="1"/>
    <xf numFmtId="0" fontId="20" fillId="6" borderId="0" xfId="0" applyFont="1" applyFill="1"/>
    <xf numFmtId="177" fontId="20" fillId="6" borderId="0" xfId="0" applyNumberFormat="1" applyFont="1" applyFill="1"/>
    <xf numFmtId="176" fontId="20" fillId="6" borderId="0" xfId="0" applyNumberFormat="1" applyFont="1" applyFill="1"/>
    <xf numFmtId="164" fontId="20" fillId="6" borderId="11" xfId="0" applyNumberFormat="1" applyFont="1" applyFill="1" applyBorder="1" applyAlignment="1">
      <alignment horizontal="right"/>
    </xf>
    <xf numFmtId="164" fontId="20" fillId="6" borderId="11" xfId="0" applyNumberFormat="1" applyFont="1" applyFill="1" applyBorder="1"/>
    <xf numFmtId="177" fontId="32" fillId="6" borderId="0" xfId="0" applyNumberFormat="1" applyFont="1" applyFill="1"/>
    <xf numFmtId="167" fontId="20" fillId="6" borderId="0" xfId="0" applyNumberFormat="1" applyFont="1" applyFill="1"/>
    <xf numFmtId="170" fontId="20" fillId="6" borderId="0" xfId="0" applyNumberFormat="1" applyFont="1" applyFill="1" applyAlignment="1">
      <alignment horizontal="center"/>
    </xf>
    <xf numFmtId="172" fontId="20" fillId="6" borderId="0" xfId="0" applyNumberFormat="1" applyFont="1" applyFill="1" applyAlignment="1">
      <alignment horizontal="left"/>
    </xf>
    <xf numFmtId="0" fontId="5" fillId="7" borderId="0" xfId="0" applyFont="1" applyFill="1"/>
    <xf numFmtId="166" fontId="5" fillId="7" borderId="0" xfId="0" applyNumberFormat="1" applyFont="1" applyFill="1"/>
    <xf numFmtId="176" fontId="5" fillId="7" borderId="2" xfId="0" applyNumberFormat="1" applyFont="1" applyFill="1" applyBorder="1"/>
    <xf numFmtId="177" fontId="5" fillId="7" borderId="0" xfId="0" applyNumberFormat="1" applyFont="1" applyFill="1"/>
    <xf numFmtId="167" fontId="5" fillId="7" borderId="0" xfId="0" applyNumberFormat="1" applyFont="1" applyFill="1" applyBorder="1"/>
    <xf numFmtId="0" fontId="5" fillId="7" borderId="0" xfId="0" applyFont="1" applyFill="1" applyBorder="1"/>
    <xf numFmtId="170" fontId="5" fillId="7" borderId="0" xfId="0" applyNumberFormat="1" applyFont="1" applyFill="1" applyBorder="1" applyAlignment="1">
      <alignment horizontal="center"/>
    </xf>
    <xf numFmtId="172" fontId="5" fillId="7" borderId="0" xfId="0" applyNumberFormat="1" applyFont="1" applyFill="1" applyBorder="1" applyAlignment="1">
      <alignment horizontal="left"/>
    </xf>
    <xf numFmtId="0" fontId="11" fillId="7" borderId="5" xfId="0" applyFont="1" applyFill="1" applyBorder="1" applyAlignment="1">
      <alignment horizontal="center"/>
    </xf>
    <xf numFmtId="164" fontId="13" fillId="7" borderId="2" xfId="0" applyNumberFormat="1" applyFont="1" applyFill="1" applyBorder="1"/>
    <xf numFmtId="2" fontId="13" fillId="7" borderId="2" xfId="0" applyNumberFormat="1" applyFont="1" applyFill="1" applyBorder="1"/>
    <xf numFmtId="176" fontId="13" fillId="7" borderId="2" xfId="0" applyNumberFormat="1" applyFont="1" applyFill="1" applyBorder="1"/>
    <xf numFmtId="164" fontId="13" fillId="7" borderId="2" xfId="0" applyNumberFormat="1" applyFont="1" applyFill="1" applyBorder="1" applyAlignment="1">
      <alignment horizontal="right"/>
    </xf>
    <xf numFmtId="0" fontId="13" fillId="7" borderId="2" xfId="0" applyFont="1" applyFill="1" applyBorder="1"/>
    <xf numFmtId="167" fontId="13" fillId="7" borderId="2" xfId="0" applyNumberFormat="1" applyFont="1" applyFill="1" applyBorder="1" applyAlignment="1">
      <alignment horizontal="center"/>
    </xf>
    <xf numFmtId="165" fontId="13" fillId="7" borderId="6" xfId="0" applyNumberFormat="1" applyFont="1" applyFill="1" applyBorder="1"/>
    <xf numFmtId="0" fontId="3" fillId="7" borderId="5" xfId="0" applyFont="1" applyFill="1" applyBorder="1" applyAlignment="1">
      <alignment horizontal="center"/>
    </xf>
    <xf numFmtId="164" fontId="20" fillId="7" borderId="2" xfId="0" applyNumberFormat="1" applyFont="1" applyFill="1" applyBorder="1"/>
    <xf numFmtId="169" fontId="20" fillId="7" borderId="2" xfId="0" applyNumberFormat="1" applyFont="1" applyFill="1" applyBorder="1"/>
    <xf numFmtId="167" fontId="3" fillId="7" borderId="6" xfId="0" applyNumberFormat="1" applyFont="1" applyFill="1" applyBorder="1" applyAlignment="1">
      <alignment horizontal="center"/>
    </xf>
    <xf numFmtId="166" fontId="20" fillId="7" borderId="2" xfId="0" applyNumberFormat="1" applyFont="1" applyFill="1" applyBorder="1"/>
    <xf numFmtId="0" fontId="20" fillId="7" borderId="2" xfId="0" applyFont="1" applyFill="1" applyBorder="1"/>
    <xf numFmtId="167" fontId="20" fillId="7" borderId="2" xfId="0" applyNumberFormat="1" applyFont="1" applyFill="1" applyBorder="1" applyAlignment="1">
      <alignment horizontal="center"/>
    </xf>
    <xf numFmtId="165" fontId="20" fillId="7" borderId="6" xfId="0" applyNumberFormat="1" applyFont="1" applyFill="1" applyBorder="1"/>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114300</xdr:colOff>
      <xdr:row>34</xdr:row>
      <xdr:rowOff>9525</xdr:rowOff>
    </xdr:from>
    <xdr:to>
      <xdr:col>6</xdr:col>
      <xdr:colOff>38100</xdr:colOff>
      <xdr:row>75</xdr:row>
      <xdr:rowOff>76200</xdr:rowOff>
    </xdr:to>
    <xdr:sp macro="" textlink="">
      <xdr:nvSpPr>
        <xdr:cNvPr id="1025" name="Text 1"/>
        <xdr:cNvSpPr txBox="1">
          <a:spLocks noChangeArrowheads="1"/>
        </xdr:cNvSpPr>
      </xdr:nvSpPr>
      <xdr:spPr bwMode="auto">
        <a:xfrm>
          <a:off x="114300" y="2705100"/>
          <a:ext cx="6553200" cy="7877175"/>
        </a:xfrm>
        <a:prstGeom prst="rect">
          <a:avLst/>
        </a:prstGeom>
        <a:solidFill>
          <a:srgbClr val="E3E3E3"/>
        </a:solidFill>
        <a:ln w="9525">
          <a:solidFill>
            <a:srgbClr val="000000"/>
          </a:solidFill>
          <a:miter lim="800000"/>
          <a:headEnd/>
          <a:tailEnd/>
        </a:ln>
      </xdr:spPr>
      <xdr:txBody>
        <a:bodyPr vertOverflow="clip" wrap="square" lIns="36576" tIns="27432" rIns="0" bIns="0" anchor="t" upright="1"/>
        <a:lstStyle/>
        <a:p>
          <a:pPr algn="l" rtl="0">
            <a:defRPr sz="1000"/>
          </a:pPr>
          <a:r>
            <a:rPr lang="en-GB" sz="1200" b="1" i="0" u="none" strike="noStrike" baseline="0">
              <a:solidFill>
                <a:srgbClr val="000000"/>
              </a:solidFill>
              <a:latin typeface="Arial"/>
              <a:cs typeface="Arial"/>
            </a:rPr>
            <a:t>INSTRUCTIONS</a:t>
          </a:r>
          <a:endParaRPr lang="en-GB" sz="1200" b="0" i="0" u="none" strike="noStrike" baseline="0">
            <a:solidFill>
              <a:srgbClr val="000000"/>
            </a:solidFill>
            <a:latin typeface="Arial"/>
            <a:cs typeface="Arial"/>
          </a:endParaRPr>
        </a:p>
        <a:p>
          <a:pPr algn="l" rtl="0">
            <a:defRPr sz="1000"/>
          </a:pPr>
          <a:endParaRPr lang="en-GB" sz="1200" b="0" i="0" u="none" strike="noStrike" baseline="0">
            <a:solidFill>
              <a:srgbClr val="000000"/>
            </a:solidFill>
            <a:latin typeface="Arial"/>
            <a:cs typeface="Arial"/>
          </a:endParaRPr>
        </a:p>
        <a:p>
          <a:pPr algn="l" rtl="0">
            <a:defRPr sz="1000"/>
          </a:pPr>
          <a:r>
            <a:rPr lang="en-GB" sz="1200" b="1" i="0" u="sng" strike="noStrike" baseline="0">
              <a:solidFill>
                <a:srgbClr val="FF00FF"/>
              </a:solidFill>
              <a:latin typeface="Arial"/>
              <a:cs typeface="Arial"/>
            </a:rPr>
            <a:t>FOR ACT STANDARD GRID CO-ORDINATES</a:t>
          </a:r>
          <a:endParaRPr lang="en-GB" sz="1200" b="1" i="0" u="none" strike="noStrike" baseline="0">
            <a:solidFill>
              <a:srgbClr val="FF00FF"/>
            </a:solidFill>
            <a:latin typeface="Arial"/>
            <a:cs typeface="Arial"/>
          </a:endParaRPr>
        </a:p>
        <a:p>
          <a:pPr algn="l" rtl="0">
            <a:defRPr sz="1000"/>
          </a:pPr>
          <a:r>
            <a:rPr lang="en-GB" sz="900" b="0" i="0" u="none" strike="noStrike" baseline="0">
              <a:solidFill>
                <a:srgbClr val="000000"/>
              </a:solidFill>
              <a:latin typeface="Arial"/>
              <a:cs typeface="Arial"/>
            </a:rPr>
            <a:t>False Easting                       200,000 metres</a:t>
          </a:r>
        </a:p>
        <a:p>
          <a:pPr algn="l" rtl="0">
            <a:defRPr sz="1000"/>
          </a:pPr>
          <a:r>
            <a:rPr lang="en-GB" sz="900" b="0" i="0" u="none" strike="noStrike" baseline="0">
              <a:solidFill>
                <a:srgbClr val="000000"/>
              </a:solidFill>
              <a:latin typeface="Arial"/>
              <a:cs typeface="Arial"/>
            </a:rPr>
            <a:t>False Northing                     4,510,193.494 metres (meridional distance from the Equator along Stromlo Trig meridian to a</a:t>
          </a:r>
        </a:p>
        <a:p>
          <a:pPr algn="l" rtl="0">
            <a:defRPr sz="1000"/>
          </a:pPr>
          <a:r>
            <a:rPr lang="en-GB" sz="900" b="0" i="0" u="none" strike="noStrike" baseline="0">
              <a:solidFill>
                <a:srgbClr val="000000"/>
              </a:solidFill>
              <a:latin typeface="Arial"/>
              <a:cs typeface="Arial"/>
            </a:rPr>
            <a:t>                                                point south of Stromlo, such as to give a grid northing value to Stromlo trig of 600,000.000 metres.)</a:t>
          </a:r>
        </a:p>
        <a:p>
          <a:pPr algn="l" rtl="0">
            <a:defRPr sz="1000"/>
          </a:pPr>
          <a:endParaRPr lang="en-GB" sz="900" b="0" i="0" u="none" strike="noStrike" baseline="0">
            <a:solidFill>
              <a:srgbClr val="000000"/>
            </a:solidFill>
            <a:latin typeface="Arial"/>
            <a:cs typeface="Arial"/>
          </a:endParaRPr>
        </a:p>
        <a:p>
          <a:pPr algn="l" rtl="0">
            <a:defRPr sz="1000"/>
          </a:pPr>
          <a:r>
            <a:rPr lang="en-GB" sz="900" b="0" i="0" u="none" strike="noStrike" baseline="0">
              <a:solidFill>
                <a:srgbClr val="000000"/>
              </a:solidFill>
              <a:latin typeface="Arial"/>
              <a:cs typeface="Arial"/>
            </a:rPr>
            <a:t>Central Scale Factor           1.000086   This factor applies when using Redfearn's formulae</a:t>
          </a:r>
        </a:p>
        <a:p>
          <a:pPr algn="l" rtl="0">
            <a:defRPr sz="1000"/>
          </a:pPr>
          <a:r>
            <a:rPr lang="en-GB" sz="900" b="0" i="0" u="none" strike="noStrike" baseline="0">
              <a:solidFill>
                <a:srgbClr val="000000"/>
              </a:solidFill>
              <a:latin typeface="Arial"/>
              <a:cs typeface="Arial"/>
            </a:rPr>
            <a:t>                                                to transform between the  Australian National Spheroid (ANS)</a:t>
          </a:r>
        </a:p>
        <a:p>
          <a:pPr algn="l" rtl="0">
            <a:defRPr sz="1000"/>
          </a:pPr>
          <a:r>
            <a:rPr lang="en-GB" sz="900" b="0" i="0" u="none" strike="noStrike" baseline="0">
              <a:solidFill>
                <a:srgbClr val="000000"/>
              </a:solidFill>
              <a:latin typeface="Arial"/>
              <a:cs typeface="Arial"/>
            </a:rPr>
            <a:t>                                                and the grid.  For </a:t>
          </a:r>
          <a:r>
            <a:rPr lang="en-GB" sz="900" b="1" i="0" u="none" strike="noStrike" baseline="0">
              <a:solidFill>
                <a:srgbClr val="000000"/>
              </a:solidFill>
              <a:latin typeface="Arial"/>
              <a:cs typeface="Arial"/>
            </a:rPr>
            <a:t>this</a:t>
          </a:r>
          <a:r>
            <a:rPr lang="en-GB" sz="900" b="0" i="0" u="none" strike="noStrike" baseline="0">
              <a:solidFill>
                <a:srgbClr val="000000"/>
              </a:solidFill>
              <a:latin typeface="Arial"/>
              <a:cs typeface="Arial"/>
            </a:rPr>
            <a:t> spreadsheet, see Note (3) below. </a:t>
          </a:r>
        </a:p>
        <a:p>
          <a:pPr algn="l" rtl="0">
            <a:defRPr sz="1000"/>
          </a:pPr>
          <a:r>
            <a:rPr lang="en-GB" sz="900" b="0" i="0" u="none" strike="noStrike" baseline="0">
              <a:solidFill>
                <a:srgbClr val="000000"/>
              </a:solidFill>
              <a:latin typeface="Arial"/>
              <a:cs typeface="Arial"/>
            </a:rPr>
            <a:t>                                                               </a:t>
          </a:r>
        </a:p>
        <a:p>
          <a:pPr algn="l" rtl="0">
            <a:defRPr sz="1000"/>
          </a:pPr>
          <a:r>
            <a:rPr lang="en-GB" sz="900" b="0" i="0" u="none" strike="noStrike" baseline="0">
              <a:solidFill>
                <a:srgbClr val="000000"/>
              </a:solidFill>
              <a:latin typeface="Arial"/>
              <a:cs typeface="Arial"/>
            </a:rPr>
            <a:t>Zone Width                           Not Applicable. (One zone only: nominally 50 minutes of arc)</a:t>
          </a:r>
        </a:p>
        <a:p>
          <a:pPr algn="l" rtl="0">
            <a:defRPr sz="1000"/>
          </a:pPr>
          <a:r>
            <a:rPr lang="en-GB" sz="900" b="0" i="0" u="none" strike="noStrike" baseline="0">
              <a:solidFill>
                <a:srgbClr val="000000"/>
              </a:solidFill>
              <a:latin typeface="Arial"/>
              <a:cs typeface="Arial"/>
            </a:rPr>
            <a:t>Central Meridian                 149.009 294 830 556 degrees East longitude</a:t>
          </a:r>
        </a:p>
        <a:p>
          <a:pPr algn="l" rtl="0">
            <a:defRPr sz="1000"/>
          </a:pPr>
          <a:endParaRPr lang="en-GB" sz="900" b="0" i="0" u="none" strike="noStrike" baseline="0">
            <a:solidFill>
              <a:srgbClr val="000000"/>
            </a:solidFill>
            <a:latin typeface="Arial"/>
            <a:cs typeface="Arial"/>
          </a:endParaRPr>
        </a:p>
        <a:p>
          <a:pPr algn="l" rtl="0">
            <a:defRPr sz="1000"/>
          </a:pPr>
          <a:r>
            <a:rPr lang="en-GB" sz="900" b="0" i="0" u="none" strike="noStrike" baseline="0">
              <a:solidFill>
                <a:srgbClr val="000000"/>
              </a:solidFill>
              <a:latin typeface="Arial"/>
              <a:cs typeface="Arial"/>
            </a:rPr>
            <a:t>(1) Select the appropriate calculation sheet to compute the required values.</a:t>
          </a:r>
        </a:p>
        <a:p>
          <a:pPr algn="l" rtl="0">
            <a:defRPr sz="1000"/>
          </a:pPr>
          <a:endParaRPr lang="en-GB" sz="900" b="0" i="0" u="none" strike="noStrike" baseline="0">
            <a:solidFill>
              <a:srgbClr val="000000"/>
            </a:solidFill>
            <a:latin typeface="Arial"/>
            <a:cs typeface="Arial"/>
          </a:endParaRPr>
        </a:p>
        <a:p>
          <a:pPr algn="l" rtl="0">
            <a:defRPr sz="1000"/>
          </a:pPr>
          <a:r>
            <a:rPr lang="en-GB" sz="900" b="0" i="0" u="none" strike="noStrike" baseline="0">
              <a:solidFill>
                <a:srgbClr val="000000"/>
              </a:solidFill>
              <a:latin typeface="Arial"/>
              <a:cs typeface="Arial"/>
            </a:rPr>
            <a:t>(2) If required, use Excel's "outlining" or "unhiding" facility to show  intermediate results of computations.</a:t>
          </a:r>
        </a:p>
        <a:p>
          <a:pPr algn="l" rtl="0">
            <a:defRPr sz="1000"/>
          </a:pPr>
          <a:endParaRPr lang="en-GB" sz="900" b="0" i="0" u="none" strike="noStrike" baseline="0">
            <a:solidFill>
              <a:srgbClr val="000000"/>
            </a:solidFill>
            <a:latin typeface="Arial"/>
            <a:cs typeface="Arial"/>
          </a:endParaRPr>
        </a:p>
        <a:p>
          <a:pPr algn="l" rtl="0">
            <a:defRPr sz="1000"/>
          </a:pPr>
          <a:r>
            <a:rPr lang="en-GB" sz="900" b="0" i="0" u="none" strike="noStrike" baseline="0">
              <a:solidFill>
                <a:srgbClr val="000000"/>
              </a:solidFill>
              <a:latin typeface="Arial"/>
              <a:cs typeface="Arial"/>
            </a:rPr>
            <a:t>(3) The ACT Standard Grid was configured so that measured ground distances for most cases could be taken as ellipsoidal distances.   The ANS is used for the geodetic datum, and the meridian through Mt Stromlo Trig Station was adopted as the central meridian for the projection.  The ANS was projected  onto a cylinder 610 metres above the datum, to reflect Canberra's elevation above sea level.  This introduced an "error" of 96ppm, giving a scale factor of 1.000096.</a:t>
          </a:r>
        </a:p>
        <a:p>
          <a:pPr algn="l" rtl="0">
            <a:defRPr sz="1000"/>
          </a:pPr>
          <a:endParaRPr lang="en-GB" sz="900" b="0" i="0" u="none" strike="noStrike" baseline="0">
            <a:solidFill>
              <a:srgbClr val="000000"/>
            </a:solidFill>
            <a:latin typeface="Arial"/>
            <a:cs typeface="Arial"/>
          </a:endParaRPr>
        </a:p>
        <a:p>
          <a:pPr algn="l" rtl="0">
            <a:defRPr sz="1000"/>
          </a:pPr>
          <a:r>
            <a:rPr lang="en-GB" sz="900" b="0" i="0" u="none" strike="noStrike" baseline="0">
              <a:solidFill>
                <a:srgbClr val="000000"/>
              </a:solidFill>
              <a:latin typeface="Arial"/>
              <a:cs typeface="Arial"/>
            </a:rPr>
            <a:t>A decision to limit projection corrections to 1:100,000 by introducing a negative correction at this rate results in a central scale factor of </a:t>
          </a:r>
          <a:r>
            <a:rPr lang="en-GB" sz="900" b="1" i="0" u="none" strike="noStrike" baseline="0">
              <a:solidFill>
                <a:srgbClr val="000000"/>
              </a:solidFill>
              <a:latin typeface="Arial"/>
              <a:cs typeface="Arial"/>
            </a:rPr>
            <a:t>1.000086</a:t>
          </a:r>
          <a:r>
            <a:rPr lang="en-GB" sz="900" b="0" i="0" u="none" strike="noStrike" baseline="0">
              <a:solidFill>
                <a:srgbClr val="000000"/>
              </a:solidFill>
              <a:latin typeface="Arial"/>
              <a:cs typeface="Arial"/>
            </a:rPr>
            <a:t>.  This value, along with the others, and ANS parameters provide for rigorous transformation between geographic and grid values using Redfearn's Formulae.</a:t>
          </a:r>
        </a:p>
        <a:p>
          <a:pPr algn="l" rtl="0">
            <a:defRPr sz="1000"/>
          </a:pPr>
          <a:endParaRPr lang="en-GB" sz="900" b="0" i="0" u="none" strike="noStrike" baseline="0">
            <a:solidFill>
              <a:srgbClr val="000000"/>
            </a:solidFill>
            <a:latin typeface="Arial"/>
            <a:cs typeface="Arial"/>
          </a:endParaRPr>
        </a:p>
        <a:p>
          <a:pPr algn="l" rtl="0">
            <a:defRPr sz="1000"/>
          </a:pPr>
          <a:r>
            <a:rPr lang="en-GB" sz="900" b="0" i="0" u="none" strike="noStrike" baseline="0">
              <a:solidFill>
                <a:srgbClr val="000000"/>
              </a:solidFill>
              <a:latin typeface="Arial"/>
              <a:cs typeface="Arial"/>
            </a:rPr>
            <a:t>Thus, the projection allows the use of plane trigonometry for most day-to-day fieldwork and office calculations on the grid, as the necessary corrections and refinements are applied at the control stage.  Most small discrepancies at this stage are within normal field observational variations.</a:t>
          </a:r>
        </a:p>
        <a:p>
          <a:pPr algn="l" rtl="0">
            <a:defRPr sz="1000"/>
          </a:pPr>
          <a:endParaRPr lang="en-GB" sz="900" b="0" i="0" u="none" strike="noStrike" baseline="0">
            <a:solidFill>
              <a:srgbClr val="000000"/>
            </a:solidFill>
            <a:latin typeface="Arial"/>
            <a:cs typeface="Arial"/>
          </a:endParaRPr>
        </a:p>
        <a:p>
          <a:pPr algn="l" rtl="0">
            <a:defRPr sz="1000"/>
          </a:pPr>
          <a:r>
            <a:rPr lang="en-GB" sz="900" b="0" i="0" u="none" strike="noStrike" baseline="0">
              <a:solidFill>
                <a:srgbClr val="000000"/>
              </a:solidFill>
              <a:latin typeface="Arial"/>
              <a:cs typeface="Arial"/>
            </a:rPr>
            <a:t>However, when working some distance away from the central meridian, measuring long lines, or measuring at altitudes exceeding 150 metres above the datum -and especially any combination thereof- corrections will need to be made to measurements before control adjustment stages.</a:t>
          </a:r>
        </a:p>
        <a:p>
          <a:pPr algn="l" rtl="0">
            <a:defRPr sz="1000"/>
          </a:pPr>
          <a:endParaRPr lang="en-GB" sz="900" b="0" i="0" u="none" strike="noStrike" baseline="0">
            <a:solidFill>
              <a:srgbClr val="000000"/>
            </a:solidFill>
            <a:latin typeface="Arial"/>
            <a:cs typeface="Arial"/>
          </a:endParaRPr>
        </a:p>
        <a:p>
          <a:pPr algn="l" rtl="0">
            <a:defRPr sz="1000"/>
          </a:pPr>
          <a:r>
            <a:rPr lang="en-GB" sz="900" b="0" i="0" u="none" strike="noStrike" baseline="0">
              <a:solidFill>
                <a:srgbClr val="000000"/>
              </a:solidFill>
              <a:latin typeface="Arial"/>
              <a:cs typeface="Arial"/>
            </a:rPr>
            <a:t>This spreadsheet application is a modified version of  Geoscience Australia's "GRIDCALC" , which is part of a suite of geodetic calculation applications available at their www.ga.gov.au website.  This </a:t>
          </a:r>
          <a:r>
            <a:rPr lang="en-GB" sz="900" b="1" i="0" u="none" strike="noStrike" baseline="0">
              <a:solidFill>
                <a:srgbClr val="000000"/>
              </a:solidFill>
              <a:latin typeface="Arial"/>
              <a:cs typeface="Arial"/>
            </a:rPr>
            <a:t>particular version</a:t>
          </a:r>
          <a:r>
            <a:rPr lang="en-GB" sz="900" b="0" i="0" u="none" strike="noStrike" baseline="0">
              <a:solidFill>
                <a:srgbClr val="000000"/>
              </a:solidFill>
              <a:latin typeface="Arial"/>
              <a:cs typeface="Arial"/>
            </a:rPr>
            <a:t> has been adapted for geodetic calculations </a:t>
          </a:r>
          <a:r>
            <a:rPr lang="en-GB" sz="900" b="1" i="0" u="none" strike="noStrike" baseline="0">
              <a:solidFill>
                <a:srgbClr val="000000"/>
              </a:solidFill>
              <a:latin typeface="Arial"/>
              <a:cs typeface="Arial"/>
            </a:rPr>
            <a:t>on the ACT grid</a:t>
          </a:r>
          <a:r>
            <a:rPr lang="en-GB" sz="900" b="0" i="0" u="none" strike="noStrike" baseline="0">
              <a:solidFill>
                <a:srgbClr val="000000"/>
              </a:solidFill>
              <a:latin typeface="Arial"/>
              <a:cs typeface="Arial"/>
            </a:rPr>
            <a:t>.  To allow such computation, the semi-diameter value incorporates the 610 metres above ANS, viz a=6,378,770 metres, thus making the projection cylinder and "ellipsoid" tangential at the central meridian.  To maintain the 1:100,000 projection correction, a central scale factor of </a:t>
          </a:r>
          <a:r>
            <a:rPr lang="en-GB" sz="900" b="1" i="0" u="none" strike="noStrike" baseline="0">
              <a:solidFill>
                <a:srgbClr val="000000"/>
              </a:solidFill>
              <a:latin typeface="Arial"/>
              <a:cs typeface="Arial"/>
            </a:rPr>
            <a:t>0.99999 </a:t>
          </a:r>
          <a:r>
            <a:rPr lang="en-GB" sz="900" b="0" i="0" u="none" strike="noStrike" baseline="0">
              <a:solidFill>
                <a:srgbClr val="000000"/>
              </a:solidFill>
              <a:latin typeface="Arial"/>
              <a:cs typeface="Arial"/>
            </a:rPr>
            <a:t>is used instead of 1.000086.</a:t>
          </a:r>
        </a:p>
        <a:p>
          <a:pPr algn="l" rtl="0">
            <a:defRPr sz="1000"/>
          </a:pPr>
          <a:endParaRPr lang="en-GB" sz="900" b="0" i="0" u="none" strike="noStrike" baseline="0">
            <a:solidFill>
              <a:srgbClr val="000000"/>
            </a:solidFill>
            <a:latin typeface="Arial"/>
            <a:cs typeface="Arial"/>
          </a:endParaRPr>
        </a:p>
        <a:p>
          <a:pPr algn="l" rtl="0">
            <a:defRPr sz="1000"/>
          </a:pPr>
          <a:r>
            <a:rPr lang="en-GB" sz="900" b="0" i="0" u="none" strike="noStrike" baseline="0">
              <a:solidFill>
                <a:srgbClr val="000000"/>
              </a:solidFill>
              <a:latin typeface="Arial"/>
              <a:cs typeface="Arial"/>
            </a:rPr>
            <a:t>Co-ordinate joins and radiations for all precise purposes will give identical values for grid bearings, plane bearings, arc-to-chord corrections and plane distances as using the "Classic" projection configuration.  Ellipsoidal distances and line scale factors will be different, as will the combined scale factor which incorporates the line scale and height correction factors.  The height factor calculation incorporates the 610 metres offset. For a line of 30km at bearing of 54˚, there is a 0.75ppm difference in ellipsoidal distance.</a:t>
          </a:r>
        </a:p>
        <a:p>
          <a:pPr algn="l" rtl="0">
            <a:defRPr sz="1000"/>
          </a:pPr>
          <a:endParaRPr lang="en-GB" sz="900" b="0" i="0" u="none" strike="noStrike" baseline="0">
            <a:solidFill>
              <a:srgbClr val="000000"/>
            </a:solidFill>
            <a:latin typeface="Arial"/>
            <a:cs typeface="Arial"/>
          </a:endParaRPr>
        </a:p>
        <a:p>
          <a:pPr algn="l" rtl="0">
            <a:defRPr sz="1000"/>
          </a:pPr>
          <a:r>
            <a:rPr lang="en-GB" sz="900" b="0" i="0" u="none" strike="noStrike" baseline="0">
              <a:solidFill>
                <a:srgbClr val="000000"/>
              </a:solidFill>
              <a:latin typeface="Arial"/>
              <a:cs typeface="Arial"/>
            </a:rPr>
            <a:t> Due to the increase in the semi-major diameter, ground distances will also be different. For example, over a distance of 30km, the difference will be about 1 centimetre longer using this modified projection, ie, 0.35ppm, as reflected in the difference in the combined height-and-line-scale factor.</a:t>
          </a:r>
        </a:p>
        <a:p>
          <a:pPr algn="l" rtl="0">
            <a:defRPr sz="1000"/>
          </a:pPr>
          <a:endParaRPr lang="en-GB" sz="900" b="0" i="0" u="none" strike="noStrike" baseline="0">
            <a:solidFill>
              <a:srgbClr val="000000"/>
            </a:solidFill>
            <a:latin typeface="Arial"/>
            <a:cs typeface="Arial"/>
          </a:endParaRPr>
        </a:p>
        <a:p>
          <a:pPr algn="l" rtl="0">
            <a:defRPr sz="1000"/>
          </a:pPr>
          <a:r>
            <a:rPr lang="en-GB" sz="900" b="0" i="0" u="none" strike="noStrike" baseline="0">
              <a:solidFill>
                <a:srgbClr val="000000"/>
              </a:solidFill>
              <a:latin typeface="Arial"/>
              <a:cs typeface="Arial"/>
            </a:rPr>
            <a:t>It will be noted that this spreadsheet calculates PLANE distances (L),along the chord linking the two points, rather than GRID (S), along the curvature of the projected ellipsoidal (s) distance.   This because  the difference between L and S is nearly always negligible. </a:t>
          </a:r>
          <a:r>
            <a:rPr lang="en-GB" sz="900" b="0" i="1" u="none" strike="noStrike" baseline="0">
              <a:solidFill>
                <a:srgbClr val="000000"/>
              </a:solidFill>
              <a:latin typeface="Arial"/>
              <a:cs typeface="Arial"/>
            </a:rPr>
            <a:t>(The Australian Geodetic Datum Technical Manual, NMC, SP10,  Canberra 1986)</a:t>
          </a:r>
          <a:endParaRPr lang="en-GB" sz="1200" b="0" i="1" u="none" strike="noStrike" baseline="0">
            <a:solidFill>
              <a:srgbClr val="000000"/>
            </a:solidFill>
            <a:latin typeface="Arial"/>
            <a:cs typeface="Arial"/>
          </a:endParaRPr>
        </a:p>
        <a:p>
          <a:pPr algn="l" rtl="0">
            <a:defRPr sz="1000"/>
          </a:pPr>
          <a:endParaRPr lang="en-GB" sz="1200" b="0" i="0" u="none" strike="noStrike" baseline="0">
            <a:solidFill>
              <a:srgbClr val="000000"/>
            </a:solidFill>
            <a:latin typeface="Arial"/>
            <a:cs typeface="Arial"/>
          </a:endParaRPr>
        </a:p>
        <a:p>
          <a:pPr algn="l" rtl="0">
            <a:defRPr sz="1000"/>
          </a:pPr>
          <a:endParaRPr lang="en-GB" sz="1000" b="0" i="0" u="none" strike="noStrike" baseline="0">
            <a:solidFill>
              <a:srgbClr val="000000"/>
            </a:solidFill>
            <a:latin typeface="Arial"/>
            <a:cs typeface="Arial"/>
          </a:endParaRPr>
        </a:p>
        <a:p>
          <a:pPr algn="l" rtl="0">
            <a:defRPr sz="1000"/>
          </a:pPr>
          <a:endParaRPr lang="en-GB" sz="10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B1:H34"/>
  <sheetViews>
    <sheetView showGridLines="0" tabSelected="1" showOutlineSymbols="0" topLeftCell="A56" zoomScaleNormal="100" workbookViewId="0">
      <selection activeCell="C81" sqref="C81"/>
    </sheetView>
  </sheetViews>
  <sheetFormatPr defaultRowHeight="15" outlineLevelRow="1"/>
  <cols>
    <col min="1" max="1" width="1.85546875" style="58" customWidth="1"/>
    <col min="2" max="2" width="28.140625" style="58" customWidth="1"/>
    <col min="3" max="3" width="25.5703125" style="58" customWidth="1"/>
    <col min="4" max="5" width="9.140625" style="58"/>
    <col min="6" max="6" width="25.5703125" style="58" customWidth="1"/>
    <col min="7" max="7" width="9.140625" style="58"/>
    <col min="8" max="8" width="22.5703125" style="58" customWidth="1"/>
    <col min="9" max="16384" width="9.140625" style="58"/>
  </cols>
  <sheetData>
    <row r="1" spans="2:8" ht="6" customHeight="1"/>
    <row r="2" spans="2:8" ht="15.75">
      <c r="B2" s="59" t="s">
        <v>0</v>
      </c>
      <c r="C2" s="135" t="s">
        <v>147</v>
      </c>
    </row>
    <row r="3" spans="2:8">
      <c r="B3" s="1" t="s">
        <v>1</v>
      </c>
      <c r="C3" s="136">
        <v>6378770</v>
      </c>
    </row>
    <row r="4" spans="2:8" ht="20.25">
      <c r="B4" s="1" t="s">
        <v>138</v>
      </c>
      <c r="C4" s="137">
        <v>298.25</v>
      </c>
      <c r="H4" s="69"/>
    </row>
    <row r="5" spans="2:8" hidden="1" outlineLevel="1">
      <c r="B5" s="1" t="s">
        <v>2</v>
      </c>
      <c r="C5" s="2">
        <f>1/C4</f>
        <v>3.3528918692372171E-3</v>
      </c>
    </row>
    <row r="6" spans="2:8" hidden="1" outlineLevel="1">
      <c r="B6" s="1" t="s">
        <v>3</v>
      </c>
      <c r="C6" s="3">
        <f>C3*(1-C7)</f>
        <v>6357382.6739312652</v>
      </c>
    </row>
    <row r="7" spans="2:8" hidden="1" outlineLevel="1">
      <c r="B7" s="1" t="s">
        <v>2</v>
      </c>
      <c r="C7" s="4">
        <f>1/C4</f>
        <v>3.3528918692372171E-3</v>
      </c>
    </row>
    <row r="8" spans="2:8" ht="18" hidden="1" outlineLevel="1">
      <c r="B8" s="1" t="s">
        <v>4</v>
      </c>
      <c r="C8" s="4">
        <f>(2*C7)-(C7*C7)</f>
        <v>6.6945418545876368E-3</v>
      </c>
    </row>
    <row r="9" spans="2:8" hidden="1" outlineLevel="1">
      <c r="B9" s="1" t="s">
        <v>5</v>
      </c>
      <c r="C9" s="4">
        <f>SQRT(C8)</f>
        <v>8.182017999605988E-2</v>
      </c>
    </row>
    <row r="10" spans="2:8" ht="18" hidden="1" outlineLevel="1">
      <c r="B10" s="1" t="s">
        <v>6</v>
      </c>
      <c r="C10" s="4">
        <f>C8*C8</f>
        <v>4.4816890642825678E-5</v>
      </c>
      <c r="F10" s="58" t="s">
        <v>7</v>
      </c>
    </row>
    <row r="11" spans="2:8" ht="18" hidden="1" outlineLevel="1">
      <c r="B11" s="1" t="s">
        <v>8</v>
      </c>
      <c r="C11" s="4">
        <f>C8*C10</f>
        <v>3.0002855020087349E-7</v>
      </c>
    </row>
    <row r="12" spans="2:8" ht="18" hidden="1" outlineLevel="1">
      <c r="B12" s="1" t="s">
        <v>9</v>
      </c>
      <c r="C12" s="4">
        <f>C8/(1-C8)</f>
        <v>6.7396607958713209E-3</v>
      </c>
    </row>
    <row r="13" spans="2:8" hidden="1" outlineLevel="1">
      <c r="B13" s="1" t="s">
        <v>10</v>
      </c>
      <c r="C13" s="4">
        <f>SQRT(C12)</f>
        <v>8.2095437119679926E-2</v>
      </c>
    </row>
    <row r="14" spans="2:8" hidden="1" outlineLevel="1">
      <c r="B14" s="1"/>
      <c r="C14" s="2"/>
    </row>
    <row r="15" spans="2:8" hidden="1" outlineLevel="1">
      <c r="B15" s="1" t="s">
        <v>11</v>
      </c>
      <c r="C15" s="2">
        <f>(C3-C6)/(C3+C6)</f>
        <v>1.6792611251049906E-3</v>
      </c>
    </row>
    <row r="16" spans="2:8" hidden="1" outlineLevel="1">
      <c r="B16" s="1" t="s">
        <v>12</v>
      </c>
      <c r="C16" s="2">
        <f>C15*C15</f>
        <v>2.8199179262888792E-6</v>
      </c>
    </row>
    <row r="17" spans="2:3" hidden="1" outlineLevel="1">
      <c r="B17" s="1" t="s">
        <v>13</v>
      </c>
      <c r="C17" s="2">
        <f>C15*C16</f>
        <v>4.735378549603595E-9</v>
      </c>
    </row>
    <row r="18" spans="2:3" hidden="1" outlineLevel="1">
      <c r="B18" s="1" t="s">
        <v>14</v>
      </c>
      <c r="C18" s="2">
        <f>C16*C16</f>
        <v>7.9519371110053724E-12</v>
      </c>
    </row>
    <row r="19" spans="2:3" hidden="1" outlineLevel="1">
      <c r="B19" s="1" t="s">
        <v>15</v>
      </c>
      <c r="C19" s="2">
        <f>C3*(1-C15)*(1-C16)*(1+(9*C16)/4+(225*C18)/64)*PI()/180</f>
        <v>111143.97745257235</v>
      </c>
    </row>
    <row r="20" spans="2:3" hidden="1" outlineLevel="1">
      <c r="B20" s="1"/>
      <c r="C20" s="2"/>
    </row>
    <row r="21" spans="2:3" ht="19.5" hidden="1" outlineLevel="1">
      <c r="B21" s="1" t="s">
        <v>104</v>
      </c>
      <c r="C21" s="2">
        <f>C3*(1-C8/4-3*C10/64-5*C11/256)/57.29577951</f>
        <v>111143.97746095007</v>
      </c>
    </row>
    <row r="22" spans="2:3" ht="19.5" hidden="1" outlineLevel="1">
      <c r="B22" s="1" t="s">
        <v>105</v>
      </c>
      <c r="C22" s="2">
        <f>C3*((3/8)*(C8+C10/4+15*C11/128))</f>
        <v>16040.488567553944</v>
      </c>
    </row>
    <row r="23" spans="2:3" ht="19.5" hidden="1" outlineLevel="1">
      <c r="B23" s="1" t="s">
        <v>106</v>
      </c>
      <c r="C23" s="2">
        <f>C3*((15/256)*(C10+3*C11/4))</f>
        <v>16.83468734543618</v>
      </c>
    </row>
    <row r="24" spans="2:3" ht="19.5" hidden="1" outlineLevel="1">
      <c r="B24" s="1" t="s">
        <v>107</v>
      </c>
      <c r="C24" s="2">
        <f>C3*(35*C11/3072)</f>
        <v>2.1804511403245085E-2</v>
      </c>
    </row>
    <row r="25" spans="2:3" collapsed="1">
      <c r="B25" s="1"/>
      <c r="C25" s="2"/>
    </row>
    <row r="26" spans="2:3" ht="15.75">
      <c r="B26" s="60" t="s">
        <v>16</v>
      </c>
      <c r="C26" s="138" t="s">
        <v>55</v>
      </c>
    </row>
    <row r="27" spans="2:3">
      <c r="B27" s="1" t="s">
        <v>17</v>
      </c>
      <c r="C27" s="139">
        <v>200000</v>
      </c>
    </row>
    <row r="28" spans="2:3">
      <c r="B28" s="1" t="s">
        <v>18</v>
      </c>
      <c r="C28" s="139">
        <v>4510193.4939999999</v>
      </c>
    </row>
    <row r="29" spans="2:3" ht="19.5">
      <c r="B29" s="1" t="s">
        <v>108</v>
      </c>
      <c r="C29" s="140">
        <v>0.99999000000000005</v>
      </c>
    </row>
    <row r="30" spans="2:3">
      <c r="B30" s="1" t="s">
        <v>19</v>
      </c>
      <c r="C30" s="141" t="s">
        <v>136</v>
      </c>
    </row>
    <row r="31" spans="2:3" ht="45">
      <c r="B31" s="61" t="s">
        <v>20</v>
      </c>
      <c r="C31" s="142">
        <v>149.009294830556</v>
      </c>
    </row>
    <row r="32" spans="2:3" ht="30" hidden="1" outlineLevel="1">
      <c r="B32" s="62" t="s">
        <v>21</v>
      </c>
      <c r="C32" s="63" t="e">
        <f>C31-(1.5*C30)</f>
        <v>#VALUE!</v>
      </c>
    </row>
    <row r="33" spans="2:3" hidden="1" outlineLevel="1">
      <c r="B33" s="58" t="s">
        <v>22</v>
      </c>
      <c r="C33" s="63" t="e">
        <f>C32+(C30/2)</f>
        <v>#VALUE!</v>
      </c>
    </row>
    <row r="34" spans="2:3" collapsed="1"/>
  </sheetData>
  <phoneticPr fontId="0" type="noConversion"/>
  <printOptions gridLinesSet="0"/>
  <pageMargins left="0.36" right="0.48" top="0.67" bottom="0.74" header="0.38" footer="0.41"/>
  <pageSetup paperSize="9" scale="97" orientation="portrait" horizontalDpi="180" verticalDpi="180" r:id="rId1"/>
  <headerFooter alignWithMargins="0">
    <oddHeader>&amp;A</oddHeader>
    <oddFooter>&amp;L&amp;D&amp;CAUSLIG&amp;Rwww.auslig.gov</oddFooter>
  </headerFooter>
  <colBreaks count="1" manualBreakCount="1">
    <brk id="6" max="1048575" man="1"/>
  </colBreaks>
  <drawing r:id="rId2"/>
</worksheet>
</file>

<file path=xl/worksheets/sheet2.xml><?xml version="1.0" encoding="utf-8"?>
<worksheet xmlns="http://schemas.openxmlformats.org/spreadsheetml/2006/main" xmlns:r="http://schemas.openxmlformats.org/officeDocument/2006/relationships">
  <sheetPr>
    <pageSetUpPr fitToPage="1"/>
  </sheetPr>
  <dimension ref="A1:G71"/>
  <sheetViews>
    <sheetView showGridLines="0" showOutlineSymbols="0" zoomScaleNormal="100" workbookViewId="0">
      <selection activeCell="E5" sqref="E5"/>
    </sheetView>
  </sheetViews>
  <sheetFormatPr defaultRowHeight="15" outlineLevelRow="1"/>
  <cols>
    <col min="1" max="1" width="47.140625" style="29" customWidth="1"/>
    <col min="2" max="2" width="29" style="29" customWidth="1"/>
    <col min="3" max="3" width="19" style="29" customWidth="1"/>
    <col min="4" max="4" width="19.42578125" style="29" customWidth="1"/>
    <col min="5" max="5" width="11.5703125" style="29" customWidth="1"/>
    <col min="6" max="6" width="16.140625" style="29" customWidth="1"/>
    <col min="7" max="7" width="13.5703125" style="29" customWidth="1"/>
    <col min="8" max="16384" width="9.140625" style="29"/>
  </cols>
  <sheetData>
    <row r="1" spans="1:6" ht="15.75">
      <c r="A1" s="28" t="s">
        <v>23</v>
      </c>
      <c r="D1" s="30" t="str">
        <f>'Parameters and Notes'!C26</f>
        <v>SGC</v>
      </c>
    </row>
    <row r="3" spans="1:6" ht="15.75">
      <c r="B3" s="31" t="s">
        <v>56</v>
      </c>
      <c r="C3" s="31" t="s">
        <v>24</v>
      </c>
      <c r="D3" s="31" t="s">
        <v>25</v>
      </c>
      <c r="E3" s="73" t="s">
        <v>172</v>
      </c>
      <c r="F3" s="32" t="s">
        <v>26</v>
      </c>
    </row>
    <row r="4" spans="1:6" ht="15.75">
      <c r="A4" s="33" t="s">
        <v>57</v>
      </c>
      <c r="B4" s="110" t="s">
        <v>163</v>
      </c>
      <c r="C4" s="111">
        <v>181775.804</v>
      </c>
      <c r="D4" s="111">
        <v>600950.48899999994</v>
      </c>
      <c r="E4" s="112">
        <v>1421.0309999999999</v>
      </c>
      <c r="F4" s="113" t="s">
        <v>27</v>
      </c>
    </row>
    <row r="5" spans="1:6" ht="15.75">
      <c r="A5" s="33" t="s">
        <v>58</v>
      </c>
      <c r="B5" s="110" t="s">
        <v>162</v>
      </c>
      <c r="C5" s="111">
        <v>207367.47200000001</v>
      </c>
      <c r="D5" s="111">
        <v>619313.61800000002</v>
      </c>
      <c r="E5" s="112">
        <v>875.94799999999998</v>
      </c>
      <c r="F5" s="74" t="s">
        <v>28</v>
      </c>
    </row>
    <row r="6" spans="1:6" ht="15.75">
      <c r="A6" s="33" t="s">
        <v>149</v>
      </c>
      <c r="B6" s="92">
        <f>B48</f>
        <v>31498.50419814053</v>
      </c>
      <c r="C6" s="35"/>
      <c r="D6" s="35"/>
    </row>
    <row r="7" spans="1:6" ht="19.5">
      <c r="A7" s="33" t="s">
        <v>171</v>
      </c>
      <c r="B7" s="92">
        <f>B53</f>
        <v>31498.472167901673</v>
      </c>
      <c r="C7" s="35"/>
      <c r="D7" s="35"/>
    </row>
    <row r="8" spans="1:6" ht="15.75">
      <c r="A8" s="33" t="s">
        <v>59</v>
      </c>
      <c r="B8" s="92">
        <f>B42</f>
        <v>31498.221817951377</v>
      </c>
      <c r="C8" s="35"/>
      <c r="D8" s="35"/>
    </row>
    <row r="9" spans="1:6" ht="19.5">
      <c r="A9" s="33" t="s">
        <v>60</v>
      </c>
      <c r="B9" s="36">
        <f>INT(D51)</f>
        <v>54</v>
      </c>
      <c r="C9" s="37">
        <f>INT((D51-B9)*60)</f>
        <v>20</v>
      </c>
      <c r="D9" s="38">
        <f>(D51-B9-(C9/60))*3600</f>
        <v>19.674220720989478</v>
      </c>
    </row>
    <row r="10" spans="1:6" ht="19.5">
      <c r="A10" s="33" t="s">
        <v>139</v>
      </c>
      <c r="B10" s="36">
        <f>INT(D55)</f>
        <v>234</v>
      </c>
      <c r="C10" s="37">
        <f>INT((D55-B10)*60)</f>
        <v>20</v>
      </c>
      <c r="D10" s="38">
        <f>(D55-B10-(C10/60))*3600</f>
        <v>20.180692809015067</v>
      </c>
    </row>
    <row r="11" spans="1:6" ht="17.25">
      <c r="A11" s="39" t="s">
        <v>159</v>
      </c>
      <c r="B11" s="36">
        <f>INT(B41)</f>
        <v>54</v>
      </c>
      <c r="C11" s="37">
        <f>INT((B41-B11)*60)</f>
        <v>20</v>
      </c>
      <c r="D11" s="38">
        <f>(B41-B11-(C11/60))*3600</f>
        <v>20.126434269951755</v>
      </c>
    </row>
    <row r="12" spans="1:6" ht="15.75">
      <c r="A12" s="33"/>
      <c r="B12" s="33"/>
      <c r="C12" s="33"/>
      <c r="D12" s="33"/>
    </row>
    <row r="13" spans="1:6" ht="19.5">
      <c r="A13" s="39" t="s">
        <v>61</v>
      </c>
      <c r="B13" s="40">
        <f>D41</f>
        <v>0.45221354887899684</v>
      </c>
    </row>
    <row r="14" spans="1:6" ht="19.5">
      <c r="A14" s="39" t="s">
        <v>62</v>
      </c>
      <c r="B14" s="40">
        <f>D47</f>
        <v>-5.425853892368683E-2</v>
      </c>
    </row>
    <row r="15" spans="1:6" ht="15.75">
      <c r="A15" s="39" t="s">
        <v>146</v>
      </c>
      <c r="B15" s="96">
        <f>B47</f>
        <v>0.99999103512384657</v>
      </c>
    </row>
    <row r="16" spans="1:6" ht="19.5" hidden="1" outlineLevel="1">
      <c r="C16" s="41">
        <f>C4-'Parameters and Notes'!C27</f>
        <v>-18224.195999999996</v>
      </c>
      <c r="D16" s="41">
        <f>D4-'Parameters and Notes'!C28</f>
        <v>-3909243.0049999999</v>
      </c>
      <c r="E16" s="42" t="s">
        <v>64</v>
      </c>
    </row>
    <row r="17" spans="1:5" ht="19.5" hidden="1" outlineLevel="1">
      <c r="B17" s="43" t="s">
        <v>65</v>
      </c>
      <c r="C17" s="44">
        <f>C5-'Parameters and Notes'!C27</f>
        <v>7367.4720000000088</v>
      </c>
      <c r="D17" s="29">
        <f>D5-'Parameters and Notes'!C28</f>
        <v>-3890879.8760000002</v>
      </c>
      <c r="E17" s="45" t="s">
        <v>66</v>
      </c>
    </row>
    <row r="18" spans="1:5" ht="19.5" hidden="1" outlineLevel="1">
      <c r="B18" s="41" t="s">
        <v>67</v>
      </c>
      <c r="C18" s="44">
        <f>C17-C16</f>
        <v>25591.668000000005</v>
      </c>
      <c r="D18" s="29">
        <f>D5-D4</f>
        <v>18363.129000000074</v>
      </c>
      <c r="E18" s="45" t="s">
        <v>68</v>
      </c>
    </row>
    <row r="19" spans="1:5" ht="19.5" hidden="1" outlineLevel="1">
      <c r="B19" s="41" t="s">
        <v>69</v>
      </c>
      <c r="C19" s="44">
        <f>C16*C16</f>
        <v>332121319.84641588</v>
      </c>
      <c r="D19" s="29">
        <f>(D16+D17)/2</f>
        <v>-3900061.4405</v>
      </c>
      <c r="E19" s="45" t="s">
        <v>70</v>
      </c>
    </row>
    <row r="20" spans="1:5" ht="20.25" hidden="1" outlineLevel="1">
      <c r="B20" s="41" t="s">
        <v>71</v>
      </c>
      <c r="C20" s="44">
        <f>C17*C17</f>
        <v>54279643.670784131</v>
      </c>
      <c r="E20" s="41"/>
    </row>
    <row r="21" spans="1:5" ht="20.25" hidden="1" outlineLevel="1">
      <c r="B21" s="41" t="s">
        <v>72</v>
      </c>
      <c r="C21" s="44">
        <f>C16*C17</f>
        <v>-134266253.75251213</v>
      </c>
      <c r="E21" s="41"/>
    </row>
    <row r="22" spans="1:5" ht="19.5" hidden="1" outlineLevel="1">
      <c r="B22" s="41" t="s">
        <v>73</v>
      </c>
      <c r="C22" s="44">
        <f>C19+C21+C20</f>
        <v>252134709.7646879</v>
      </c>
      <c r="E22" s="41"/>
    </row>
    <row r="23" spans="1:5" ht="20.25" hidden="1" outlineLevel="1">
      <c r="B23" s="41" t="s">
        <v>74</v>
      </c>
      <c r="C23" s="44">
        <f>C17+2*C16</f>
        <v>-29080.919999999984</v>
      </c>
      <c r="E23" s="41"/>
    </row>
    <row r="24" spans="1:5" ht="19.5" hidden="1" outlineLevel="1">
      <c r="B24" s="46" t="s">
        <v>75</v>
      </c>
      <c r="C24" s="44">
        <f>2*C17+C16</f>
        <v>-3489.2519999999786</v>
      </c>
      <c r="E24" s="41"/>
    </row>
    <row r="25" spans="1:5" ht="19.5" hidden="1" outlineLevel="1">
      <c r="B25" s="46" t="s">
        <v>76</v>
      </c>
      <c r="C25" s="44"/>
      <c r="E25" s="41"/>
    </row>
    <row r="26" spans="1:5" ht="15.75" hidden="1" outlineLevel="1">
      <c r="B26" s="46"/>
      <c r="C26" s="47" t="s">
        <v>29</v>
      </c>
      <c r="D26" s="48"/>
    </row>
    <row r="27" spans="1:5" ht="18.75" hidden="1" outlineLevel="1">
      <c r="A27" s="33" t="s">
        <v>30</v>
      </c>
      <c r="B27" s="47"/>
      <c r="C27" s="41" t="s">
        <v>77</v>
      </c>
      <c r="D27" s="29">
        <f>1-'Parameters and Notes'!C8</f>
        <v>0.99330545814541238</v>
      </c>
    </row>
    <row r="28" spans="1:5" ht="20.25" hidden="1" outlineLevel="1">
      <c r="A28" s="49" t="s">
        <v>78</v>
      </c>
      <c r="B28" s="29">
        <f>(D19/'Parameters and Notes'!C29)/'Parameters and Notes'!C19</f>
        <v>-35.090524299156705</v>
      </c>
      <c r="C28" s="41" t="s">
        <v>79</v>
      </c>
      <c r="D28" s="29">
        <f>1-'Parameters and Notes'!C8*SIN(B31)*SIN(B31)</f>
        <v>0.99777268126164664</v>
      </c>
    </row>
    <row r="29" spans="1:5" ht="19.5" hidden="1" outlineLevel="1">
      <c r="A29" s="49" t="s">
        <v>80</v>
      </c>
      <c r="B29" s="29">
        <f>B28*PI()/180</f>
        <v>-0.61244518527136016</v>
      </c>
      <c r="C29" s="49" t="s">
        <v>81</v>
      </c>
      <c r="D29" s="44">
        <f>'Parameters and Notes'!C3*D27/D28^1.5</f>
        <v>6357294.808809354</v>
      </c>
    </row>
    <row r="30" spans="1:5" ht="19.5" hidden="1" outlineLevel="1">
      <c r="A30" s="49" t="s">
        <v>82</v>
      </c>
      <c r="B30" s="29">
        <f>((D19/'Parameters and Notes'!C29)+'Parameters and Notes'!C22*SIN(2*B29))/'Parameters and Notes'!C21</f>
        <v>-35.226297637737211</v>
      </c>
      <c r="C30" s="49" t="s">
        <v>83</v>
      </c>
      <c r="D30" s="44">
        <f>'Parameters and Notes'!C3/D28^0.5</f>
        <v>6385885.665824933</v>
      </c>
      <c r="E30" s="48"/>
    </row>
    <row r="31" spans="1:5" ht="20.25" hidden="1" outlineLevel="1">
      <c r="A31" s="49" t="s">
        <v>84</v>
      </c>
      <c r="B31" s="29">
        <f>B30*PI()/180</f>
        <v>-0.61481487706601512</v>
      </c>
      <c r="C31" s="41" t="s">
        <v>85</v>
      </c>
      <c r="D31" s="29">
        <f>D29*D30*'Parameters and Notes'!C29*'Parameters and Notes'!C29</f>
        <v>40596145857902.75</v>
      </c>
      <c r="E31" s="48"/>
    </row>
    <row r="32" spans="1:5" ht="20.25" hidden="1" outlineLevel="1">
      <c r="A32" s="49"/>
      <c r="C32" s="41" t="s">
        <v>86</v>
      </c>
      <c r="D32" s="29">
        <f>1/(6*D31)</f>
        <v>4.1054800435993134E-15</v>
      </c>
      <c r="E32" s="48"/>
    </row>
    <row r="33" spans="1:6" ht="20.25" hidden="1" outlineLevel="1">
      <c r="A33" s="49"/>
      <c r="C33" s="41" t="s">
        <v>87</v>
      </c>
      <c r="D33" s="29">
        <f>1/(27*D31)</f>
        <v>9.1232889857762519E-16</v>
      </c>
      <c r="E33" s="48"/>
    </row>
    <row r="34" spans="1:6" ht="20.25" hidden="1" outlineLevel="1">
      <c r="A34" s="49"/>
      <c r="C34" s="41" t="s">
        <v>88</v>
      </c>
      <c r="D34" s="29">
        <f>1/(36*D31)</f>
        <v>6.8424667393321889E-16</v>
      </c>
      <c r="E34" s="48"/>
    </row>
    <row r="35" spans="1:6" ht="17.25" hidden="1" outlineLevel="1">
      <c r="A35" s="49"/>
      <c r="C35" s="41" t="s">
        <v>155</v>
      </c>
      <c r="D35" s="29">
        <f>(D31)/((D29*(SIN(D50)^2)+(D30*(COS(D50)^2))))</f>
        <v>6376011.9154259544</v>
      </c>
      <c r="E35" s="48"/>
    </row>
    <row r="36" spans="1:6" ht="15.75" hidden="1" outlineLevel="1">
      <c r="A36" s="49"/>
    </row>
    <row r="37" spans="1:6" ht="15.75" hidden="1" outlineLevel="1">
      <c r="A37" s="41"/>
      <c r="C37" s="47" t="s">
        <v>31</v>
      </c>
      <c r="D37" s="48"/>
      <c r="E37" s="44"/>
    </row>
    <row r="38" spans="1:6" ht="19.5" hidden="1" outlineLevel="1">
      <c r="A38" s="47" t="s">
        <v>32</v>
      </c>
      <c r="B38" s="48"/>
      <c r="C38" s="49" t="s">
        <v>89</v>
      </c>
      <c r="D38" s="44">
        <f>-D18*C23</f>
        <v>534016685.39868182</v>
      </c>
    </row>
    <row r="39" spans="1:6" ht="19.5" hidden="1" outlineLevel="1">
      <c r="A39" s="49" t="s">
        <v>90</v>
      </c>
      <c r="B39" s="29">
        <f>ATAN2(D18,C18)</f>
        <v>0.94839313595711272</v>
      </c>
      <c r="C39" s="49" t="s">
        <v>91</v>
      </c>
      <c r="D39" s="29">
        <f>1-((C23*C23)*D33)</f>
        <v>0.99999922844353439</v>
      </c>
    </row>
    <row r="40" spans="1:6" ht="19.5" hidden="1" outlineLevel="1">
      <c r="A40" s="49" t="s">
        <v>92</v>
      </c>
      <c r="B40" s="29">
        <f>IF(B39=0,0,IF(B39&gt;0,B39,2*PI()+B39))</f>
        <v>0.94839313595711272</v>
      </c>
      <c r="C40" s="49" t="s">
        <v>93</v>
      </c>
      <c r="D40" s="29">
        <f>D38*D39*D32</f>
        <v>2.1923931532969236E-6</v>
      </c>
    </row>
    <row r="41" spans="1:6" ht="19.5" hidden="1" outlineLevel="1">
      <c r="A41" s="49" t="s">
        <v>94</v>
      </c>
      <c r="B41" s="29">
        <f>(B40/PI())*180</f>
        <v>54.338924009519431</v>
      </c>
      <c r="C41" s="49" t="s">
        <v>95</v>
      </c>
      <c r="D41" s="50">
        <f>D40*206264.8062</f>
        <v>0.45221354887899684</v>
      </c>
      <c r="E41" s="44"/>
      <c r="F41" s="44"/>
    </row>
    <row r="42" spans="1:6" ht="15.75" hidden="1" outlineLevel="1">
      <c r="A42" s="41" t="s">
        <v>33</v>
      </c>
      <c r="B42" s="44">
        <f>ABS(C18/SIN(B39))</f>
        <v>31498.221817951377</v>
      </c>
      <c r="C42" s="51"/>
      <c r="D42" s="50"/>
      <c r="E42" s="44"/>
      <c r="F42" s="44"/>
    </row>
    <row r="43" spans="1:6" hidden="1" outlineLevel="1">
      <c r="A43" s="41"/>
      <c r="B43" s="44"/>
    </row>
    <row r="44" spans="1:6" ht="19.5" hidden="1" outlineLevel="1">
      <c r="A44" s="47" t="s">
        <v>34</v>
      </c>
      <c r="B44" s="52"/>
      <c r="C44" s="49" t="s">
        <v>96</v>
      </c>
      <c r="D44" s="44">
        <f>D18*C24</f>
        <v>-64073584.589507863</v>
      </c>
    </row>
    <row r="45" spans="1:6" ht="19.5" hidden="1" outlineLevel="1">
      <c r="A45" s="41" t="s">
        <v>35</v>
      </c>
      <c r="B45" s="29">
        <f>C22*D32</f>
        <v>1.0351340192376312E-6</v>
      </c>
      <c r="C45" s="49" t="s">
        <v>97</v>
      </c>
      <c r="D45" s="29">
        <f>1-(C24*C24)*D33</f>
        <v>0.99999998889250563</v>
      </c>
    </row>
    <row r="46" spans="1:6" ht="19.5" hidden="1" outlineLevel="1">
      <c r="A46" s="41" t="s">
        <v>36</v>
      </c>
      <c r="B46" s="29">
        <f>1+(C22*D34)</f>
        <v>1.0000001725223366</v>
      </c>
      <c r="C46" s="49" t="s">
        <v>98</v>
      </c>
      <c r="D46" s="29">
        <f>D44*D45*D32</f>
        <v>-2.630528199322393E-7</v>
      </c>
    </row>
    <row r="47" spans="1:6" ht="19.5" hidden="1" outlineLevel="1">
      <c r="A47" s="41" t="s">
        <v>37</v>
      </c>
      <c r="B47" s="29">
        <f>'Parameters and Notes'!C29*(1+(B45*B46))</f>
        <v>0.99999103512384657</v>
      </c>
      <c r="C47" s="49" t="s">
        <v>99</v>
      </c>
      <c r="D47" s="50">
        <f>D46*206264.8062</f>
        <v>-5.425853892368683E-2</v>
      </c>
    </row>
    <row r="48" spans="1:6" hidden="1" outlineLevel="1">
      <c r="A48" s="41" t="s">
        <v>38</v>
      </c>
      <c r="B48" s="44">
        <f>B42/B47</f>
        <v>31498.50419814053</v>
      </c>
    </row>
    <row r="49" spans="1:7" ht="15.75" hidden="1" outlineLevel="1">
      <c r="A49" s="41"/>
      <c r="C49" s="47" t="s">
        <v>39</v>
      </c>
      <c r="D49" s="48"/>
    </row>
    <row r="50" spans="1:7" ht="19.5" hidden="1" outlineLevel="1">
      <c r="A50" s="39" t="s">
        <v>152</v>
      </c>
      <c r="C50" s="49" t="s">
        <v>100</v>
      </c>
      <c r="D50" s="29">
        <f>B40-D40</f>
        <v>0.94839094356395948</v>
      </c>
    </row>
    <row r="51" spans="1:7" ht="19.5" hidden="1" outlineLevel="1">
      <c r="A51" s="41" t="s">
        <v>154</v>
      </c>
      <c r="B51" s="75">
        <f>((E4+E5)/2)-610</f>
        <v>538.48949999999991</v>
      </c>
      <c r="C51" s="49" t="s">
        <v>101</v>
      </c>
      <c r="D51" s="29">
        <f>(D50/PI())*180</f>
        <v>54.338798394644719</v>
      </c>
    </row>
    <row r="52" spans="1:7" hidden="1" outlineLevel="1">
      <c r="A52" s="41" t="s">
        <v>153</v>
      </c>
      <c r="B52" s="75">
        <f>ABS(E4-E5)</f>
        <v>545.08299999999997</v>
      </c>
      <c r="C52" s="41"/>
    </row>
    <row r="53" spans="1:7" ht="19.5" hidden="1" outlineLevel="1">
      <c r="A53" s="41" t="s">
        <v>161</v>
      </c>
      <c r="B53" s="44">
        <f>(D35*2*(SIN(B48/(D35*2))))</f>
        <v>31498.472167901673</v>
      </c>
      <c r="C53" s="49" t="s">
        <v>102</v>
      </c>
      <c r="D53" s="29">
        <f>B40-D46+PI()</f>
        <v>4.089986052599726</v>
      </c>
    </row>
    <row r="54" spans="1:7" ht="19.5" hidden="1" outlineLevel="1">
      <c r="A54" s="41" t="s">
        <v>160</v>
      </c>
      <c r="B54" s="44">
        <f>SQRT((B53^2)*(1+((E4-610)/D35))*(1+((E5-610)/D35))+(B52^2))</f>
        <v>31505.847955658486</v>
      </c>
      <c r="C54" s="49" t="s">
        <v>103</v>
      </c>
      <c r="D54" s="29">
        <f>(D53/PI())*180</f>
        <v>234.33893908133584</v>
      </c>
    </row>
    <row r="55" spans="1:7" ht="19.5" hidden="1" outlineLevel="1">
      <c r="A55" s="41"/>
      <c r="C55" s="49" t="s">
        <v>103</v>
      </c>
      <c r="D55" s="29">
        <f>IF(D54&gt;360,D54-360,IF(D54&lt;0,D54+360,D54))</f>
        <v>234.33893908133584</v>
      </c>
    </row>
    <row r="56" spans="1:7" ht="15.75" collapsed="1">
      <c r="A56" s="39" t="s">
        <v>156</v>
      </c>
      <c r="B56" s="79">
        <f>B51</f>
        <v>538.48949999999991</v>
      </c>
    </row>
    <row r="57" spans="1:7" ht="15.75">
      <c r="A57" s="70" t="s">
        <v>173</v>
      </c>
      <c r="B57" s="94">
        <f>B47*(1-(B51)/((B51)+D35))</f>
        <v>0.99990658747765659</v>
      </c>
      <c r="C57" s="53"/>
    </row>
    <row r="58" spans="1:7" ht="15.75">
      <c r="A58" s="39" t="s">
        <v>150</v>
      </c>
      <c r="B58" s="90">
        <f>B8/B57</f>
        <v>31501.164421176712</v>
      </c>
      <c r="C58" s="54"/>
      <c r="D58" s="55"/>
      <c r="G58" s="56"/>
    </row>
    <row r="59" spans="1:7">
      <c r="B59" s="54"/>
      <c r="D59" s="55"/>
      <c r="G59" s="56"/>
    </row>
    <row r="60" spans="1:7">
      <c r="C60" s="57"/>
      <c r="D60" s="55"/>
      <c r="G60" s="56"/>
    </row>
    <row r="61" spans="1:7">
      <c r="B61" s="57"/>
      <c r="D61" s="55"/>
      <c r="G61" s="56"/>
    </row>
    <row r="62" spans="1:7">
      <c r="B62" s="56"/>
      <c r="D62" s="55"/>
      <c r="G62" s="56"/>
    </row>
    <row r="63" spans="1:7">
      <c r="B63" s="56"/>
    </row>
    <row r="64" spans="1:7">
      <c r="B64" s="56"/>
    </row>
    <row r="67" spans="1:2">
      <c r="A67" s="55"/>
      <c r="B67" s="56"/>
    </row>
    <row r="68" spans="1:2">
      <c r="A68" s="55"/>
      <c r="B68" s="56"/>
    </row>
    <row r="69" spans="1:2">
      <c r="A69" s="55"/>
      <c r="B69" s="56"/>
    </row>
    <row r="70" spans="1:2">
      <c r="A70" s="55"/>
      <c r="B70" s="56"/>
    </row>
    <row r="71" spans="1:2">
      <c r="A71" s="55"/>
      <c r="B71" s="56"/>
    </row>
  </sheetData>
  <phoneticPr fontId="0" type="noConversion"/>
  <printOptions gridLinesSet="0"/>
  <pageMargins left="0.45" right="0.35" top="1" bottom="1" header="0.5" footer="0.5"/>
  <pageSetup paperSize="9" scale="99" orientation="landscape" r:id="rId1"/>
  <headerFooter alignWithMargins="0">
    <oddHeader>&amp;C&amp;"Arial,Bold"&amp;12&amp;F</oddHeader>
    <oddFooter>&amp;L&amp;D  &amp;T&amp;C&amp;A&amp;Rwww.actpla.act.gov.au</oddFooter>
  </headerFooter>
  <legacyDrawing r:id="rId2"/>
</worksheet>
</file>

<file path=xl/worksheets/sheet3.xml><?xml version="1.0" encoding="utf-8"?>
<worksheet xmlns="http://schemas.openxmlformats.org/spreadsheetml/2006/main" xmlns:r="http://schemas.openxmlformats.org/officeDocument/2006/relationships">
  <sheetPr>
    <pageSetUpPr fitToPage="1"/>
  </sheetPr>
  <dimension ref="A1:F71"/>
  <sheetViews>
    <sheetView showGridLines="0" showOutlineSymbols="0" zoomScaleNormal="100" workbookViewId="0">
      <selection activeCell="D80" sqref="D80"/>
    </sheetView>
  </sheetViews>
  <sheetFormatPr defaultRowHeight="15" outlineLevelRow="1"/>
  <cols>
    <col min="1" max="1" width="47.7109375" style="29" customWidth="1"/>
    <col min="2" max="2" width="20.85546875" style="29" customWidth="1"/>
    <col min="3" max="3" width="18.5703125" style="29" customWidth="1"/>
    <col min="4" max="4" width="18.7109375" style="29" customWidth="1"/>
    <col min="5" max="5" width="11.42578125" style="29" bestFit="1" customWidth="1"/>
    <col min="6" max="6" width="11.140625" style="29" customWidth="1"/>
    <col min="7" max="7" width="11.28515625" style="29" bestFit="1" customWidth="1"/>
    <col min="8" max="16384" width="9.140625" style="29"/>
  </cols>
  <sheetData>
    <row r="1" spans="1:6" ht="15.75">
      <c r="A1" s="28" t="s">
        <v>40</v>
      </c>
      <c r="D1" s="30" t="str">
        <f>'Parameters and Notes'!C26</f>
        <v>SGC</v>
      </c>
    </row>
    <row r="3" spans="1:6" ht="15.75">
      <c r="B3" s="31" t="s">
        <v>56</v>
      </c>
      <c r="C3" s="31" t="s">
        <v>24</v>
      </c>
      <c r="D3" s="31" t="s">
        <v>25</v>
      </c>
      <c r="E3" s="76" t="s">
        <v>172</v>
      </c>
      <c r="F3" s="32" t="s">
        <v>26</v>
      </c>
    </row>
    <row r="4" spans="1:6" ht="15.75">
      <c r="A4" s="33" t="s">
        <v>57</v>
      </c>
      <c r="B4" s="110" t="s">
        <v>164</v>
      </c>
      <c r="C4" s="111">
        <v>200673.46100000001</v>
      </c>
      <c r="D4" s="111">
        <v>614510.29700000002</v>
      </c>
      <c r="E4" s="112">
        <v>610</v>
      </c>
      <c r="F4" s="114" t="s">
        <v>27</v>
      </c>
    </row>
    <row r="5" spans="1:6" ht="15.75">
      <c r="A5" s="33" t="s">
        <v>58</v>
      </c>
      <c r="B5" s="110" t="s">
        <v>165</v>
      </c>
      <c r="C5" s="91">
        <f>C4+D65</f>
        <v>203242.50881265453</v>
      </c>
      <c r="D5" s="91">
        <f>D4+D66</f>
        <v>616353.69587105361</v>
      </c>
      <c r="E5" s="112">
        <v>610</v>
      </c>
      <c r="F5" s="34" t="s">
        <v>28</v>
      </c>
    </row>
    <row r="6" spans="1:6" ht="15.75">
      <c r="A6" s="33" t="s">
        <v>149</v>
      </c>
      <c r="B6" s="115">
        <v>3162.0128</v>
      </c>
      <c r="C6" s="110"/>
      <c r="D6" s="110"/>
    </row>
    <row r="7" spans="1:6" ht="19.5">
      <c r="A7" s="33" t="s">
        <v>60</v>
      </c>
      <c r="B7" s="116">
        <v>54</v>
      </c>
      <c r="C7" s="117">
        <v>20</v>
      </c>
      <c r="D7" s="118">
        <v>20.350000000000001</v>
      </c>
    </row>
    <row r="8" spans="1:6" ht="19.5">
      <c r="A8" s="33" t="s">
        <v>139</v>
      </c>
      <c r="B8" s="36">
        <f>INT(B68)</f>
        <v>234</v>
      </c>
      <c r="C8" s="37">
        <f>INT((B68-B8)*60)</f>
        <v>20</v>
      </c>
      <c r="D8" s="38">
        <f>(B68-B8-C8/60)*3600</f>
        <v>20.331661090961074</v>
      </c>
    </row>
    <row r="9" spans="1:6" ht="15.75">
      <c r="A9" s="33" t="s">
        <v>109</v>
      </c>
      <c r="B9" s="92">
        <f>B52</f>
        <v>3161.9813505943625</v>
      </c>
    </row>
    <row r="10" spans="1:6" ht="17.25">
      <c r="A10" s="39" t="s">
        <v>159</v>
      </c>
      <c r="B10" s="36">
        <f>INT(C21)</f>
        <v>54</v>
      </c>
      <c r="C10" s="37">
        <f>INT((C21-B10)*60)</f>
        <v>20</v>
      </c>
      <c r="D10" s="38">
        <f>(C21-B10-C10/60)*3600</f>
        <v>20.342835733279752</v>
      </c>
    </row>
    <row r="12" spans="1:6" ht="19.5">
      <c r="A12" s="39" t="s">
        <v>61</v>
      </c>
      <c r="B12" s="64">
        <f>B58</f>
        <v>-7.1642666864103382E-3</v>
      </c>
    </row>
    <row r="13" spans="1:6" ht="19.5">
      <c r="A13" s="39" t="s">
        <v>62</v>
      </c>
      <c r="B13" s="64">
        <f>D58</f>
        <v>1.1174642440811075E-2</v>
      </c>
    </row>
    <row r="14" spans="1:6" ht="15.75">
      <c r="A14" s="39" t="s">
        <v>63</v>
      </c>
      <c r="B14" s="95">
        <f>B51</f>
        <v>0.99999005399167351</v>
      </c>
    </row>
    <row r="15" spans="1:6" ht="19.5" hidden="1" outlineLevel="1">
      <c r="B15" s="80" t="s">
        <v>65</v>
      </c>
      <c r="C15" s="65">
        <f>C4-'Parameters and Notes'!C27</f>
        <v>673.46100000001024</v>
      </c>
      <c r="D15" s="66">
        <f>D4-'Parameters and Notes'!C28</f>
        <v>-3895683.1969999997</v>
      </c>
      <c r="E15" s="42" t="s">
        <v>64</v>
      </c>
    </row>
    <row r="16" spans="1:6" ht="20.25" hidden="1" outlineLevel="1">
      <c r="B16" s="81" t="s">
        <v>71</v>
      </c>
      <c r="C16" s="44">
        <f>C15*C15</f>
        <v>453549.7185210138</v>
      </c>
    </row>
    <row r="17" spans="1:5" ht="19.5" hidden="1" outlineLevel="1">
      <c r="B17" s="82" t="s">
        <v>101</v>
      </c>
      <c r="C17" s="29">
        <f>B7+C7/60+D7/3600</f>
        <v>54.338986111111112</v>
      </c>
    </row>
    <row r="18" spans="1:5" ht="19.5" hidden="1" outlineLevel="1">
      <c r="B18" s="82" t="s">
        <v>100</v>
      </c>
      <c r="C18" s="29">
        <f>(C17/180)*PI()</f>
        <v>0.94839421983435812</v>
      </c>
      <c r="E18" s="45"/>
    </row>
    <row r="19" spans="1:5" ht="17.25" hidden="1" outlineLevel="1">
      <c r="B19" s="82" t="s">
        <v>157</v>
      </c>
      <c r="C19" s="29">
        <f>C18+B57</f>
        <v>0.94839418510101303</v>
      </c>
      <c r="E19" s="45"/>
    </row>
    <row r="20" spans="1:5" ht="17.25" hidden="1" outlineLevel="1">
      <c r="B20" s="82" t="s">
        <v>158</v>
      </c>
      <c r="C20" s="29">
        <f>C19*180/PI()</f>
        <v>54.338984121037022</v>
      </c>
      <c r="E20" s="45"/>
    </row>
    <row r="21" spans="1:5" ht="17.25" hidden="1" outlineLevel="1">
      <c r="B21" s="82" t="s">
        <v>158</v>
      </c>
      <c r="C21" s="29">
        <f>IF(C20&gt;360,C20-360,IF(C20&lt;0,C20+360,C20))</f>
        <v>54.338984121037022</v>
      </c>
      <c r="E21" s="45"/>
    </row>
    <row r="22" spans="1:5" hidden="1" outlineLevel="1">
      <c r="B22" s="83"/>
      <c r="C22" s="44"/>
      <c r="E22" s="41"/>
    </row>
    <row r="23" spans="1:5" ht="15.75" hidden="1" outlineLevel="1">
      <c r="A23" s="47" t="s">
        <v>41</v>
      </c>
      <c r="B23" s="84"/>
      <c r="C23" s="47" t="s">
        <v>42</v>
      </c>
      <c r="D23" s="48"/>
    </row>
    <row r="24" spans="1:5" ht="19.5" hidden="1" outlineLevel="1">
      <c r="A24" s="49" t="s">
        <v>110</v>
      </c>
      <c r="B24" s="77">
        <f>(D15/'Parameters and Notes'!C29)/'Parameters and Notes'!C21</f>
        <v>-35.05113136328314</v>
      </c>
      <c r="C24" s="41" t="s">
        <v>77</v>
      </c>
      <c r="D24" s="29">
        <f>1-'Parameters and Notes'!C8</f>
        <v>0.99330545814541238</v>
      </c>
    </row>
    <row r="25" spans="1:5" ht="20.25" hidden="1" outlineLevel="1">
      <c r="A25" s="49" t="s">
        <v>111</v>
      </c>
      <c r="B25" s="77">
        <f>B24*PI()/180</f>
        <v>-0.6117576488383395</v>
      </c>
      <c r="C25" s="41" t="s">
        <v>112</v>
      </c>
      <c r="D25" s="29">
        <f>1-'Parameters and Notes'!C8*SIN(B27)*SIN(B27)</f>
        <v>0.99777702508265598</v>
      </c>
    </row>
    <row r="26" spans="1:5" ht="19.5" hidden="1" outlineLevel="1">
      <c r="A26" s="49" t="s">
        <v>113</v>
      </c>
      <c r="B26" s="77">
        <f>((D15/'Parameters and Notes'!C29)+'Parameters and Notes'!C22*SIN(2*B25))/'Parameters and Notes'!C21</f>
        <v>-35.186837290901011</v>
      </c>
      <c r="C26" s="49" t="s">
        <v>114</v>
      </c>
      <c r="D26" s="44">
        <f>'Parameters and Notes'!C3*D24/D25^1.5</f>
        <v>6357253.2941422444</v>
      </c>
    </row>
    <row r="27" spans="1:5" ht="19.5" hidden="1" outlineLevel="1">
      <c r="A27" s="49" t="s">
        <v>115</v>
      </c>
      <c r="B27" s="77">
        <f>B26*PI()/180</f>
        <v>-0.61412616408974441</v>
      </c>
      <c r="C27" s="49" t="s">
        <v>116</v>
      </c>
      <c r="D27" s="44">
        <f>'Parameters and Notes'!C3/D25^0.5</f>
        <v>6385871.7653372427</v>
      </c>
      <c r="E27" s="48"/>
    </row>
    <row r="28" spans="1:5" ht="20.25" hidden="1" outlineLevel="1">
      <c r="A28" s="49"/>
      <c r="B28" s="77"/>
      <c r="C28" s="41" t="s">
        <v>117</v>
      </c>
      <c r="D28" s="29">
        <f>D26*D27</f>
        <v>40596604316160.133</v>
      </c>
      <c r="E28" s="48"/>
    </row>
    <row r="29" spans="1:5" ht="18.75" hidden="1" outlineLevel="1">
      <c r="A29" s="47" t="s">
        <v>43</v>
      </c>
      <c r="B29" s="85"/>
      <c r="C29" s="41" t="s">
        <v>118</v>
      </c>
      <c r="D29" s="29">
        <f>1/(6*D28)</f>
        <v>4.1054336803317881E-15</v>
      </c>
      <c r="E29" s="48"/>
    </row>
    <row r="30" spans="1:5" ht="20.25" hidden="1" outlineLevel="1">
      <c r="A30" s="67" t="s">
        <v>119</v>
      </c>
      <c r="B30" s="77">
        <f>C16/(2*D28)</f>
        <v>5.5860548703635171E-9</v>
      </c>
      <c r="C30" s="41" t="s">
        <v>120</v>
      </c>
      <c r="D30" s="29">
        <f>1/(27*D28)</f>
        <v>9.1231859562928623E-16</v>
      </c>
      <c r="E30" s="48"/>
    </row>
    <row r="31" spans="1:5" ht="20.25" hidden="1" outlineLevel="1">
      <c r="A31" s="67" t="s">
        <v>121</v>
      </c>
      <c r="B31" s="77">
        <f>(C16*C16)/(24*D28*D28)</f>
        <v>5.2006681691186615E-18</v>
      </c>
      <c r="C31" s="41" t="s">
        <v>122</v>
      </c>
      <c r="D31" s="29">
        <f>1/(36*D28)</f>
        <v>6.8423894672196477E-16</v>
      </c>
      <c r="E31" s="48"/>
    </row>
    <row r="32" spans="1:5" ht="19.5" hidden="1" outlineLevel="1">
      <c r="A32" s="67" t="s">
        <v>123</v>
      </c>
      <c r="B32" s="77">
        <f>'Parameters and Notes'!C29*(1+B30+B31)</f>
        <v>0.99999000558599915</v>
      </c>
    </row>
    <row r="33" spans="1:4" hidden="1" outlineLevel="1">
      <c r="B33" s="77"/>
    </row>
    <row r="34" spans="1:4" ht="15.75" hidden="1" outlineLevel="1">
      <c r="A34" s="47" t="s">
        <v>44</v>
      </c>
      <c r="B34" s="84"/>
    </row>
    <row r="35" spans="1:4" ht="19.5" hidden="1" outlineLevel="1">
      <c r="A35" s="41" t="s">
        <v>67</v>
      </c>
      <c r="B35" s="86">
        <f>C15+B32*B6*SIN(C18)</f>
        <v>3242.5087523241968</v>
      </c>
      <c r="C35" s="41" t="s">
        <v>69</v>
      </c>
      <c r="D35" s="44">
        <f>B35-C15</f>
        <v>2569.0477523241866</v>
      </c>
    </row>
    <row r="36" spans="1:4" ht="20.25" hidden="1" outlineLevel="1">
      <c r="A36" s="41" t="s">
        <v>124</v>
      </c>
      <c r="B36" s="86">
        <f>B32*B6*COS(C18)</f>
        <v>1843.398692590109</v>
      </c>
      <c r="C36" s="41" t="s">
        <v>72</v>
      </c>
      <c r="D36" s="29">
        <f>B35*B35</f>
        <v>10513863.00889902</v>
      </c>
    </row>
    <row r="37" spans="1:4" ht="19.5" hidden="1" outlineLevel="1">
      <c r="A37" s="41" t="s">
        <v>125</v>
      </c>
      <c r="B37" s="87">
        <f>D15+B36/2</f>
        <v>-3894761.4976537046</v>
      </c>
      <c r="C37" s="41" t="s">
        <v>73</v>
      </c>
      <c r="D37" s="29">
        <f>C15*B35</f>
        <v>2183703.186849039</v>
      </c>
    </row>
    <row r="38" spans="1:4" ht="20.25" hidden="1" outlineLevel="1">
      <c r="A38" s="41" t="s">
        <v>66</v>
      </c>
      <c r="B38" s="87">
        <f>D4+B36</f>
        <v>616353.69569259009</v>
      </c>
      <c r="C38" s="41" t="s">
        <v>74</v>
      </c>
      <c r="D38" s="29">
        <f>C16+C15*B35+D36</f>
        <v>13151115.914269073</v>
      </c>
    </row>
    <row r="39" spans="1:4" ht="19.5" hidden="1" outlineLevel="1">
      <c r="A39" s="41"/>
      <c r="B39" s="87"/>
      <c r="C39" s="46" t="s">
        <v>75</v>
      </c>
      <c r="D39" s="29">
        <f>B35+2*C15</f>
        <v>4589.4307523242169</v>
      </c>
    </row>
    <row r="40" spans="1:4" ht="19.5" hidden="1" outlineLevel="1">
      <c r="B40" s="87"/>
      <c r="C40" s="46" t="s">
        <v>76</v>
      </c>
      <c r="D40" s="29">
        <f>2*B35+C15</f>
        <v>7158.4785046484039</v>
      </c>
    </row>
    <row r="41" spans="1:4" hidden="1" outlineLevel="1">
      <c r="B41" s="87"/>
    </row>
    <row r="42" spans="1:4" ht="15.75" hidden="1" outlineLevel="1">
      <c r="A42" s="47" t="s">
        <v>45</v>
      </c>
      <c r="B42" s="84"/>
      <c r="C42" s="47" t="s">
        <v>46</v>
      </c>
      <c r="D42" s="48"/>
    </row>
    <row r="43" spans="1:4" ht="19.5" hidden="1" outlineLevel="1">
      <c r="A43" s="49" t="s">
        <v>126</v>
      </c>
      <c r="B43" s="77">
        <f>(B37/'Parameters and Notes'!C29)/'Parameters and Notes'!C21</f>
        <v>-35.042838439236</v>
      </c>
      <c r="C43" s="41" t="s">
        <v>77</v>
      </c>
      <c r="D43" s="29">
        <f>1-'Parameters and Notes'!C8</f>
        <v>0.99330545814541238</v>
      </c>
    </row>
    <row r="44" spans="1:4" ht="20.25" hidden="1" outlineLevel="1">
      <c r="A44" s="49" t="s">
        <v>80</v>
      </c>
      <c r="B44" s="77">
        <f>B43*PI()/180</f>
        <v>-0.61161291000909912</v>
      </c>
      <c r="C44" s="41" t="s">
        <v>127</v>
      </c>
      <c r="D44" s="29">
        <f>1-'Parameters and Notes'!C8*SIN(B46)*SIN(B46)</f>
        <v>0.99777793926752167</v>
      </c>
    </row>
    <row r="45" spans="1:4" ht="19.5" hidden="1" outlineLevel="1">
      <c r="A45" s="49" t="s">
        <v>82</v>
      </c>
      <c r="B45" s="77">
        <f>((B37/'Parameters and Notes'!C29)+'Parameters and Notes'!C22*SIN(2*B44))/'Parameters and Notes'!C21</f>
        <v>-35.17853014237339</v>
      </c>
      <c r="C45" s="49" t="s">
        <v>81</v>
      </c>
      <c r="D45" s="44">
        <f>'Parameters and Notes'!C3*D43/D44^1.5</f>
        <v>6357244.5571730416</v>
      </c>
    </row>
    <row r="46" spans="1:4" ht="19.5" hidden="1" outlineLevel="1">
      <c r="A46" s="49" t="s">
        <v>84</v>
      </c>
      <c r="B46" s="77">
        <f>B45*PI()/180</f>
        <v>-0.61398117699648525</v>
      </c>
      <c r="C46" s="49" t="s">
        <v>83</v>
      </c>
      <c r="D46" s="44">
        <f>'Parameters and Notes'!C3/D44^0.5</f>
        <v>6385868.8399024187</v>
      </c>
    </row>
    <row r="47" spans="1:4" ht="20.25" hidden="1" outlineLevel="1">
      <c r="B47" s="77"/>
      <c r="C47" s="41" t="s">
        <v>128</v>
      </c>
      <c r="D47" s="29">
        <f>D45*D46*'Parameters and Notes'!C29*'Parameters and Notes'!C29</f>
        <v>40595717998751.727</v>
      </c>
    </row>
    <row r="48" spans="1:4" ht="20.25" hidden="1" outlineLevel="1">
      <c r="A48" s="47" t="s">
        <v>32</v>
      </c>
      <c r="B48" s="88"/>
      <c r="C48" s="41" t="s">
        <v>129</v>
      </c>
      <c r="D48" s="29">
        <f>1/(6*D47)</f>
        <v>4.1055233133650076E-15</v>
      </c>
    </row>
    <row r="49" spans="1:4" ht="20.25" hidden="1" outlineLevel="1">
      <c r="A49" s="41" t="s">
        <v>35</v>
      </c>
      <c r="B49" s="77">
        <f>D38*D48</f>
        <v>5.3992212982797247E-8</v>
      </c>
      <c r="C49" s="41" t="s">
        <v>130</v>
      </c>
      <c r="D49" s="29">
        <f>1/(27*D47)</f>
        <v>9.1233851408111275E-16</v>
      </c>
    </row>
    <row r="50" spans="1:4" ht="20.25" hidden="1" outlineLevel="1">
      <c r="A50" s="41" t="s">
        <v>36</v>
      </c>
      <c r="B50" s="77">
        <f>1+(D38*D50)</f>
        <v>1.0000000089987022</v>
      </c>
      <c r="C50" s="41" t="s">
        <v>131</v>
      </c>
      <c r="D50" s="29">
        <f>1/(36*D47)</f>
        <v>6.8425388556083456E-16</v>
      </c>
    </row>
    <row r="51" spans="1:4" ht="17.25" hidden="1" outlineLevel="1">
      <c r="A51" s="41" t="s">
        <v>37</v>
      </c>
      <c r="B51" s="77">
        <f>'Parameters and Notes'!C29*(1+B49*B50)</f>
        <v>0.99999005399167351</v>
      </c>
      <c r="C51" s="41" t="s">
        <v>155</v>
      </c>
      <c r="D51" s="29">
        <f>D47/((D45*(SIN(C18)^2)+(D46*(COS(C18)^2))))</f>
        <v>6375983.7507802974</v>
      </c>
    </row>
    <row r="52" spans="1:4" hidden="1" outlineLevel="1">
      <c r="A52" s="41" t="s">
        <v>47</v>
      </c>
      <c r="B52" s="86">
        <f>B6*B51</f>
        <v>3161.9813505943625</v>
      </c>
    </row>
    <row r="53" spans="1:4" hidden="1" outlineLevel="1">
      <c r="B53" s="77"/>
    </row>
    <row r="54" spans="1:4" ht="15.75" hidden="1" outlineLevel="1">
      <c r="A54" s="47" t="s">
        <v>31</v>
      </c>
      <c r="B54" s="85"/>
      <c r="C54" s="48"/>
      <c r="D54" s="48"/>
    </row>
    <row r="55" spans="1:4" ht="19.5" hidden="1" outlineLevel="1">
      <c r="A55" s="49" t="s">
        <v>89</v>
      </c>
      <c r="B55" s="86">
        <f>-B36*D39</f>
        <v>-8460150.6485673022</v>
      </c>
      <c r="C55" s="49" t="s">
        <v>96</v>
      </c>
      <c r="D55" s="44">
        <f>B36*D40</f>
        <v>13195929.916403266</v>
      </c>
    </row>
    <row r="56" spans="1:4" ht="19.5" hidden="1" outlineLevel="1">
      <c r="A56" s="49" t="s">
        <v>91</v>
      </c>
      <c r="B56" s="77">
        <f>(1-(D39*D39)*D49)*D48</f>
        <v>4.1055232344713345E-15</v>
      </c>
      <c r="C56" s="49" t="s">
        <v>97</v>
      </c>
      <c r="D56" s="29">
        <f>(1-(D40*D40)*D49)*D48</f>
        <v>4.10552312142479E-15</v>
      </c>
    </row>
    <row r="57" spans="1:4" ht="19.5" hidden="1" outlineLevel="1">
      <c r="A57" s="49" t="s">
        <v>93</v>
      </c>
      <c r="B57" s="77">
        <f>B55*B56</f>
        <v>-3.4733345054820791E-8</v>
      </c>
      <c r="C57" s="49" t="s">
        <v>98</v>
      </c>
      <c r="D57" s="29">
        <f>D55*D56</f>
        <v>5.4176195380494705E-8</v>
      </c>
    </row>
    <row r="58" spans="1:4" ht="19.5" hidden="1" outlineLevel="1">
      <c r="A58" s="49" t="s">
        <v>95</v>
      </c>
      <c r="B58" s="89">
        <f>B57*206264.8062</f>
        <v>-7.1642666864103382E-3</v>
      </c>
      <c r="C58" s="49" t="s">
        <v>99</v>
      </c>
      <c r="D58" s="50">
        <f>D57*206264.8062</f>
        <v>1.1174642440811075E-2</v>
      </c>
    </row>
    <row r="59" spans="1:4" ht="15.75" hidden="1" outlineLevel="1">
      <c r="A59" s="49"/>
      <c r="B59" s="89"/>
      <c r="C59" s="49"/>
      <c r="D59" s="50"/>
    </row>
    <row r="60" spans="1:4" ht="15.75" hidden="1" outlineLevel="1">
      <c r="A60" s="39" t="s">
        <v>152</v>
      </c>
      <c r="B60" s="89"/>
      <c r="C60" s="49"/>
      <c r="D60" s="50"/>
    </row>
    <row r="61" spans="1:4" ht="15.75" hidden="1" outlineLevel="1">
      <c r="A61" s="41" t="s">
        <v>154</v>
      </c>
      <c r="B61" s="86">
        <f>((E4+E5)/2)-610</f>
        <v>0</v>
      </c>
      <c r="C61" s="49"/>
      <c r="D61" s="50"/>
    </row>
    <row r="62" spans="1:4" ht="15.75" hidden="1" outlineLevel="1">
      <c r="A62" s="41" t="s">
        <v>153</v>
      </c>
      <c r="B62" s="89">
        <f>ABS(E4-E5)</f>
        <v>0</v>
      </c>
      <c r="C62" s="49"/>
      <c r="D62" s="50"/>
    </row>
    <row r="63" spans="1:4" ht="15.75" hidden="1" outlineLevel="1">
      <c r="A63" s="49"/>
      <c r="B63" s="89"/>
      <c r="C63" s="49"/>
      <c r="D63" s="50"/>
    </row>
    <row r="64" spans="1:4" ht="15.75" hidden="1" outlineLevel="1">
      <c r="A64" s="47" t="s">
        <v>48</v>
      </c>
      <c r="B64" s="85"/>
      <c r="C64" s="47" t="s">
        <v>49</v>
      </c>
      <c r="D64" s="48"/>
    </row>
    <row r="65" spans="1:4" ht="15.75" hidden="1" outlineLevel="1">
      <c r="A65" s="49" t="s">
        <v>92</v>
      </c>
      <c r="B65" s="77">
        <f>C18+B57</f>
        <v>0.94839418510101303</v>
      </c>
      <c r="C65" s="49" t="s">
        <v>132</v>
      </c>
      <c r="D65" s="29">
        <f>B52*SIN(B65)</f>
        <v>2569.0478126545104</v>
      </c>
    </row>
    <row r="66" spans="1:4" ht="19.5" hidden="1" outlineLevel="1">
      <c r="A66" s="49" t="s">
        <v>102</v>
      </c>
      <c r="B66" s="77">
        <f>B65-D57+PI()</f>
        <v>4.0899867845146112</v>
      </c>
      <c r="C66" s="49" t="s">
        <v>133</v>
      </c>
      <c r="D66" s="29">
        <f>B52*COS(B65)</f>
        <v>1843.3988710535828</v>
      </c>
    </row>
    <row r="67" spans="1:4" ht="19.5" hidden="1" outlineLevel="1">
      <c r="A67" s="49" t="s">
        <v>103</v>
      </c>
      <c r="B67" s="77">
        <f>(B66/PI())*180</f>
        <v>234.33898101696971</v>
      </c>
      <c r="C67" s="41" t="s">
        <v>134</v>
      </c>
      <c r="D67" s="68">
        <f>C4+D65</f>
        <v>203242.50881265453</v>
      </c>
    </row>
    <row r="68" spans="1:4" ht="19.5" hidden="1" outlineLevel="1">
      <c r="A68" s="49" t="s">
        <v>103</v>
      </c>
      <c r="B68" s="77">
        <f>IF(B67&gt;360,B67-360,IF(B67&lt;0,B67+360,B67))</f>
        <v>234.33898101696971</v>
      </c>
      <c r="C68" s="41" t="s">
        <v>135</v>
      </c>
      <c r="D68" s="68">
        <f>D4+D66</f>
        <v>616353.69587105361</v>
      </c>
    </row>
    <row r="69" spans="1:4" ht="15.75" collapsed="1">
      <c r="A69" s="39" t="s">
        <v>156</v>
      </c>
      <c r="B69" s="78">
        <f>B61</f>
        <v>0</v>
      </c>
    </row>
    <row r="70" spans="1:4" ht="15.75">
      <c r="A70" s="70" t="s">
        <v>173</v>
      </c>
      <c r="B70" s="94">
        <f>B51*(1-(B61)/((B61)+D51))</f>
        <v>0.99999005399167351</v>
      </c>
    </row>
    <row r="71" spans="1:4" ht="15.75">
      <c r="A71" s="39" t="s">
        <v>150</v>
      </c>
      <c r="B71" s="93">
        <f>B9/B70</f>
        <v>3162.0128</v>
      </c>
    </row>
  </sheetData>
  <phoneticPr fontId="0" type="noConversion"/>
  <printOptions gridLinesSet="0"/>
  <pageMargins left="0.56000000000000005" right="0.39" top="0.62" bottom="0.57999999999999996" header="0.31" footer="0.28000000000000003"/>
  <pageSetup paperSize="9" orientation="landscape" horizontalDpi="180" verticalDpi="180" r:id="rId1"/>
  <headerFooter alignWithMargins="0">
    <oddHeader>&amp;C&amp;"Arial,Bold"&amp;12&amp;F</oddHeader>
    <oddFooter>&amp;L&amp;D  &amp;T&amp;C&amp;A&amp;Rwww.actpla.act.gov.au</oddFooter>
  </headerFooter>
  <legacyDrawing r:id="rId2"/>
</worksheet>
</file>

<file path=xl/worksheets/sheet4.xml><?xml version="1.0" encoding="utf-8"?>
<worksheet xmlns="http://schemas.openxmlformats.org/spreadsheetml/2006/main" xmlns:r="http://schemas.openxmlformats.org/officeDocument/2006/relationships">
  <dimension ref="B3:I38"/>
  <sheetViews>
    <sheetView showGridLines="0" zoomScaleNormal="100" workbookViewId="0">
      <selection activeCell="E10" sqref="E10"/>
    </sheetView>
  </sheetViews>
  <sheetFormatPr defaultRowHeight="12.75"/>
  <cols>
    <col min="1" max="1" width="2.140625" customWidth="1"/>
    <col min="2" max="2" width="39" customWidth="1"/>
    <col min="3" max="3" width="18.28515625" customWidth="1"/>
    <col min="4" max="4" width="12" customWidth="1"/>
    <col min="5" max="5" width="13.5703125" customWidth="1"/>
    <col min="6" max="6" width="9.42578125" customWidth="1"/>
    <col min="7" max="7" width="2.5703125" customWidth="1"/>
    <col min="8" max="8" width="31.7109375" customWidth="1"/>
    <col min="9" max="9" width="15.85546875" customWidth="1"/>
  </cols>
  <sheetData>
    <row r="3" spans="2:9">
      <c r="B3" s="7" t="s">
        <v>143</v>
      </c>
      <c r="C3" s="8"/>
      <c r="D3" s="8"/>
      <c r="E3" s="8"/>
      <c r="F3" s="9"/>
      <c r="H3" s="19" t="s">
        <v>0</v>
      </c>
      <c r="I3" s="127" t="s">
        <v>141</v>
      </c>
    </row>
    <row r="4" spans="2:9">
      <c r="B4" s="18"/>
      <c r="C4" s="10"/>
      <c r="D4" s="10"/>
      <c r="E4" s="10"/>
      <c r="F4" s="6"/>
      <c r="H4" s="20" t="s">
        <v>1</v>
      </c>
      <c r="I4" s="128">
        <v>6378770</v>
      </c>
    </row>
    <row r="5" spans="2:9">
      <c r="B5" s="5"/>
      <c r="C5" s="11" t="s">
        <v>56</v>
      </c>
      <c r="D5" s="11" t="s">
        <v>24</v>
      </c>
      <c r="E5" s="11" t="s">
        <v>25</v>
      </c>
      <c r="F5" s="100" t="s">
        <v>151</v>
      </c>
      <c r="H5" s="20" t="s">
        <v>137</v>
      </c>
      <c r="I5" s="129">
        <v>298.25</v>
      </c>
    </row>
    <row r="6" spans="2:9">
      <c r="B6" s="12" t="s">
        <v>50</v>
      </c>
      <c r="C6" s="119" t="s">
        <v>166</v>
      </c>
      <c r="D6" s="120">
        <v>181775.804</v>
      </c>
      <c r="E6" s="120">
        <v>581206.04399999999</v>
      </c>
      <c r="F6" s="121">
        <v>1421.0309999999999</v>
      </c>
      <c r="H6" s="20"/>
      <c r="I6" s="21"/>
    </row>
    <row r="7" spans="2:9">
      <c r="B7" s="12" t="s">
        <v>51</v>
      </c>
      <c r="C7" s="119" t="s">
        <v>169</v>
      </c>
      <c r="D7" s="97">
        <v>207367.47200000001</v>
      </c>
      <c r="E7" s="97">
        <v>619313.61800000002</v>
      </c>
      <c r="F7" s="109">
        <v>1875.9480000000001</v>
      </c>
      <c r="H7" s="22" t="s">
        <v>16</v>
      </c>
      <c r="I7" s="127" t="s">
        <v>55</v>
      </c>
    </row>
    <row r="8" spans="2:9">
      <c r="B8" s="12" t="s">
        <v>168</v>
      </c>
      <c r="C8" s="122">
        <v>31498.504199999999</v>
      </c>
      <c r="D8" s="124"/>
      <c r="E8" s="124"/>
      <c r="F8" s="6"/>
      <c r="H8" s="20" t="s">
        <v>17</v>
      </c>
      <c r="I8" s="130">
        <v>200000</v>
      </c>
    </row>
    <row r="9" spans="2:9">
      <c r="B9" s="12" t="s">
        <v>52</v>
      </c>
      <c r="C9" s="123">
        <v>54</v>
      </c>
      <c r="D9" s="125">
        <v>20</v>
      </c>
      <c r="E9" s="126">
        <v>19.670000000000002</v>
      </c>
      <c r="F9" s="6"/>
      <c r="H9" s="20" t="s">
        <v>18</v>
      </c>
      <c r="I9" s="131">
        <v>4510193.4939999999</v>
      </c>
    </row>
    <row r="10" spans="2:9">
      <c r="B10" s="12" t="s">
        <v>167</v>
      </c>
      <c r="C10" s="15">
        <v>234</v>
      </c>
      <c r="D10" s="16">
        <v>20</v>
      </c>
      <c r="E10" s="17">
        <v>20.18</v>
      </c>
      <c r="F10" s="6"/>
      <c r="H10" s="20" t="s">
        <v>53</v>
      </c>
      <c r="I10" s="132">
        <v>0.99999000000000005</v>
      </c>
    </row>
    <row r="11" spans="2:9">
      <c r="B11" s="71" t="s">
        <v>54</v>
      </c>
      <c r="C11" s="98">
        <v>31498.221799999999</v>
      </c>
      <c r="D11" s="10"/>
      <c r="E11" s="10"/>
      <c r="F11" s="6"/>
      <c r="H11" s="20" t="s">
        <v>19</v>
      </c>
      <c r="I11" s="133" t="s">
        <v>136</v>
      </c>
    </row>
    <row r="12" spans="2:9" ht="14.25">
      <c r="B12" s="71" t="s">
        <v>170</v>
      </c>
      <c r="C12" s="15">
        <v>54</v>
      </c>
      <c r="D12" s="16">
        <v>20</v>
      </c>
      <c r="E12" s="17">
        <v>20.13</v>
      </c>
      <c r="F12" s="6"/>
      <c r="H12" s="20"/>
      <c r="I12" s="133"/>
    </row>
    <row r="13" spans="2:9">
      <c r="B13" s="71"/>
      <c r="C13" s="105"/>
      <c r="D13" s="10"/>
      <c r="E13" s="10"/>
      <c r="F13" s="6"/>
      <c r="H13" s="20"/>
      <c r="I13" s="133"/>
    </row>
    <row r="14" spans="2:9" ht="14.25">
      <c r="B14" s="71" t="s">
        <v>144</v>
      </c>
      <c r="C14" s="99">
        <v>0.45</v>
      </c>
      <c r="D14" s="10"/>
      <c r="E14" s="10"/>
      <c r="F14" s="6"/>
      <c r="H14" s="23" t="s">
        <v>140</v>
      </c>
      <c r="I14" s="134">
        <v>149.009294830556</v>
      </c>
    </row>
    <row r="15" spans="2:9" ht="14.25">
      <c r="B15" s="71" t="s">
        <v>145</v>
      </c>
      <c r="C15" s="99">
        <v>-0.05</v>
      </c>
      <c r="D15" s="10"/>
      <c r="E15" s="10"/>
      <c r="F15" s="6"/>
    </row>
    <row r="16" spans="2:9">
      <c r="B16" s="71" t="s">
        <v>148</v>
      </c>
      <c r="C16" s="72">
        <v>0.99999104000000005</v>
      </c>
      <c r="D16" s="10"/>
      <c r="E16" s="10"/>
      <c r="F16" s="6"/>
    </row>
    <row r="17" spans="2:9">
      <c r="B17" s="71" t="s">
        <v>156</v>
      </c>
      <c r="C17" s="101">
        <v>538.49</v>
      </c>
      <c r="D17" s="10"/>
      <c r="E17" s="10"/>
      <c r="F17" s="6"/>
    </row>
    <row r="18" spans="2:9">
      <c r="B18" s="103" t="s">
        <v>173</v>
      </c>
      <c r="C18" s="104">
        <v>0.99990659000000004</v>
      </c>
      <c r="D18" s="10"/>
      <c r="E18" s="10"/>
      <c r="F18" s="6"/>
    </row>
    <row r="19" spans="2:9">
      <c r="B19" s="25" t="s">
        <v>150</v>
      </c>
      <c r="C19" s="102">
        <v>31501.164000000001</v>
      </c>
      <c r="D19" s="24"/>
      <c r="E19" s="24"/>
      <c r="F19" s="13"/>
    </row>
    <row r="20" spans="2:9">
      <c r="H20" s="27"/>
      <c r="I20" s="26"/>
    </row>
    <row r="22" spans="2:9">
      <c r="B22" s="7" t="s">
        <v>142</v>
      </c>
      <c r="C22" s="8"/>
      <c r="D22" s="8"/>
      <c r="E22" s="8"/>
      <c r="F22" s="9"/>
      <c r="H22" s="27"/>
      <c r="I22" s="26"/>
    </row>
    <row r="23" spans="2:9">
      <c r="B23" s="18"/>
      <c r="C23" s="10"/>
      <c r="D23" s="10"/>
      <c r="E23" s="10"/>
      <c r="F23" s="6"/>
    </row>
    <row r="24" spans="2:9">
      <c r="B24" s="5"/>
      <c r="C24" s="11" t="s">
        <v>56</v>
      </c>
      <c r="D24" s="11" t="s">
        <v>24</v>
      </c>
      <c r="E24" s="11" t="s">
        <v>25</v>
      </c>
      <c r="F24" s="100" t="s">
        <v>151</v>
      </c>
    </row>
    <row r="25" spans="2:9">
      <c r="B25" s="12" t="s">
        <v>50</v>
      </c>
      <c r="C25" s="119" t="s">
        <v>166</v>
      </c>
      <c r="D25" s="120">
        <v>178728.769</v>
      </c>
      <c r="E25" s="120">
        <v>581206.04399999999</v>
      </c>
      <c r="F25" s="121">
        <v>1421.0309999999999</v>
      </c>
    </row>
    <row r="26" spans="2:9">
      <c r="B26" s="12" t="s">
        <v>51</v>
      </c>
      <c r="C26" s="119" t="s">
        <v>169</v>
      </c>
      <c r="D26" s="120">
        <v>180081.549</v>
      </c>
      <c r="E26" s="120">
        <v>561903.31000000006</v>
      </c>
      <c r="F26" s="121">
        <v>1875.9480000000001</v>
      </c>
    </row>
    <row r="27" spans="2:9">
      <c r="B27" s="12" t="s">
        <v>168</v>
      </c>
      <c r="C27" s="98">
        <v>31498.504199999999</v>
      </c>
      <c r="D27" s="14"/>
      <c r="E27" s="14"/>
      <c r="F27" s="6"/>
    </row>
    <row r="28" spans="2:9">
      <c r="B28" s="12" t="s">
        <v>54</v>
      </c>
      <c r="C28" s="98">
        <v>31498.221799999999</v>
      </c>
      <c r="D28" s="14"/>
      <c r="E28" s="14"/>
      <c r="F28" s="6"/>
    </row>
    <row r="29" spans="2:9">
      <c r="B29" s="12" t="s">
        <v>52</v>
      </c>
      <c r="C29" s="15">
        <v>54</v>
      </c>
      <c r="D29" s="16">
        <v>20</v>
      </c>
      <c r="E29" s="17">
        <v>20.13</v>
      </c>
      <c r="F29" s="6"/>
    </row>
    <row r="30" spans="2:9">
      <c r="B30" s="12" t="s">
        <v>167</v>
      </c>
      <c r="C30" s="15">
        <v>234</v>
      </c>
      <c r="D30" s="16">
        <v>20</v>
      </c>
      <c r="E30" s="17">
        <v>20.18</v>
      </c>
      <c r="F30" s="6"/>
    </row>
    <row r="31" spans="2:9" ht="14.25">
      <c r="B31" s="71" t="s">
        <v>170</v>
      </c>
      <c r="C31" s="15">
        <v>54</v>
      </c>
      <c r="D31" s="16">
        <v>20</v>
      </c>
      <c r="E31" s="17">
        <v>20.13</v>
      </c>
      <c r="F31" s="6"/>
    </row>
    <row r="32" spans="2:9">
      <c r="B32" s="71"/>
      <c r="C32" s="106"/>
      <c r="D32" s="107"/>
      <c r="E32" s="108"/>
      <c r="F32" s="6"/>
    </row>
    <row r="33" spans="2:6" ht="14.25">
      <c r="B33" s="71" t="s">
        <v>144</v>
      </c>
      <c r="C33" s="99">
        <v>0.45</v>
      </c>
      <c r="D33" s="10"/>
      <c r="E33" s="10"/>
      <c r="F33" s="6"/>
    </row>
    <row r="34" spans="2:6" ht="14.25">
      <c r="B34" s="71" t="s">
        <v>145</v>
      </c>
      <c r="C34" s="99">
        <v>-0.05</v>
      </c>
      <c r="D34" s="10"/>
      <c r="E34" s="10"/>
      <c r="F34" s="6"/>
    </row>
    <row r="35" spans="2:6">
      <c r="B35" s="71" t="s">
        <v>148</v>
      </c>
      <c r="C35" s="72">
        <v>0.99999104000000005</v>
      </c>
      <c r="D35" s="10"/>
      <c r="E35" s="10"/>
      <c r="F35" s="6"/>
    </row>
    <row r="36" spans="2:6">
      <c r="B36" s="71" t="s">
        <v>156</v>
      </c>
      <c r="C36" s="101">
        <v>538.49</v>
      </c>
      <c r="D36" s="10"/>
      <c r="E36" s="10"/>
      <c r="F36" s="6"/>
    </row>
    <row r="37" spans="2:6">
      <c r="B37" s="103" t="s">
        <v>173</v>
      </c>
      <c r="C37" s="104">
        <v>0.99990659000000004</v>
      </c>
      <c r="D37" s="10"/>
      <c r="E37" s="10"/>
      <c r="F37" s="6"/>
    </row>
    <row r="38" spans="2:6">
      <c r="B38" s="25" t="s">
        <v>150</v>
      </c>
      <c r="C38" s="102">
        <v>31501.164000000001</v>
      </c>
      <c r="D38" s="24"/>
      <c r="E38" s="24"/>
      <c r="F38" s="13"/>
    </row>
  </sheetData>
  <phoneticPr fontId="0" type="noConversion"/>
  <printOptions gridLinesSet="0"/>
  <pageMargins left="0.75" right="0.75" top="1" bottom="1" header="0.5" footer="0.5"/>
  <pageSetup paperSize="9" scale="91" orientation="landscape" horizontalDpi="180" verticalDpi="180" r:id="rId1"/>
  <headerFooter alignWithMargins="0">
    <oddHeader>&amp;C&amp;"Arial,Bold"&amp;12&amp;F</oddHeader>
    <oddFooter>&amp;L&amp;D  &amp;T&amp;C&amp;A&amp;Rwww.actpla.act.gov.au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Parameters and Notes</vt:lpstr>
      <vt:lpstr>Grid coord &gt; Bearing &amp; Ell Dist</vt:lpstr>
      <vt:lpstr>Bearing &amp; Ell Dist &gt; Grid Coord</vt:lpstr>
      <vt:lpstr>Test Data</vt:lpstr>
      <vt:lpstr>'Bearing &amp; Ell Dist &gt; Grid Coord'!Print_Area</vt:lpstr>
      <vt:lpstr>'Grid coord &gt; Bearing &amp; Ell Dist'!Print_Area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Gridcalc (SGC)</dc:title>
  <dc:subject>Line Scale Factors, Joins, Radiations</dc:subject>
  <dc:creator>Jim Steed, Modified by Alex Petrow for the ACT Grid</dc:creator>
  <cp:keywords>Geodesy, Surveying, Grids, Transverse Mercator</cp:keywords>
  <dc:description>Calculates geodetic radiations, joins, ellipsoidal, plane and ground distances and bearings, line scale factors &amp; arc-to-chord corrections for ACT Grid (SGC) for calculations ON THE GRID, as opposed to the surface of the AGD66 ellipsoid.</dc:description>
  <cp:lastModifiedBy>Alex Petrow</cp:lastModifiedBy>
  <cp:lastPrinted>2011-08-09T00:51:58Z</cp:lastPrinted>
  <dcterms:created xsi:type="dcterms:W3CDTF">1998-02-12T03:56:00Z</dcterms:created>
  <dcterms:modified xsi:type="dcterms:W3CDTF">2012-08-29T03:56:12Z</dcterms:modified>
  <cp:category>Geodetic Calculations</cp:category>
</cp:coreProperties>
</file>